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62913"/>
</workbook>
</file>

<file path=xl/calcChain.xml><?xml version="1.0" encoding="utf-8"?>
<calcChain xmlns="http://schemas.openxmlformats.org/spreadsheetml/2006/main">
  <c r="C16" i="1" l="1"/>
  <c r="C10" i="1" l="1"/>
  <c r="C12" i="1"/>
  <c r="G11" i="1" l="1"/>
  <c r="G12" i="1"/>
  <c r="G32" i="1" s="1"/>
  <c r="G33" i="1" s="1"/>
  <c r="K28" i="1" l="1"/>
  <c r="K10" i="1"/>
  <c r="K9" i="1"/>
  <c r="M5" i="1" l="1"/>
  <c r="M4" i="1"/>
  <c r="M3" i="1"/>
  <c r="G14" i="1" l="1"/>
  <c r="G16" i="1" s="1"/>
  <c r="C8" i="1"/>
  <c r="C6" i="1"/>
  <c r="C14" i="1" l="1"/>
  <c r="G17" i="1"/>
  <c r="K30" i="1"/>
  <c r="K31" i="1" s="1"/>
  <c r="K29" i="1"/>
  <c r="C13" i="1"/>
  <c r="G15" i="1"/>
  <c r="K11" i="1" l="1"/>
  <c r="K12" i="1" s="1"/>
  <c r="G3" i="1"/>
  <c r="G5" i="1" s="1"/>
  <c r="G6" i="1" s="1"/>
  <c r="K32" i="1"/>
  <c r="K15" i="1" l="1"/>
  <c r="K16" i="1" s="1"/>
  <c r="K13" i="1"/>
  <c r="K14" i="1" s="1"/>
  <c r="K18" i="1"/>
  <c r="G7" i="1"/>
  <c r="G8" i="1" s="1"/>
  <c r="G34" i="1"/>
  <c r="G35" i="1" s="1"/>
  <c r="G36" i="1" s="1"/>
  <c r="G37" i="1" s="1"/>
  <c r="G23" i="1"/>
  <c r="G26" i="1"/>
  <c r="G4" i="1"/>
  <c r="G27" i="1" l="1"/>
  <c r="G28" i="1"/>
  <c r="G29" i="1" s="1"/>
  <c r="K19" i="1"/>
  <c r="K20" i="1"/>
  <c r="K21" i="1" s="1"/>
  <c r="G24" i="1"/>
  <c r="G25" i="1"/>
  <c r="K17" i="1"/>
</calcChain>
</file>

<file path=xl/sharedStrings.xml><?xml version="1.0" encoding="utf-8"?>
<sst xmlns="http://schemas.openxmlformats.org/spreadsheetml/2006/main" count="116" uniqueCount="65">
  <si>
    <t>c</t>
  </si>
  <si>
    <t>Kg/m^3</t>
  </si>
  <si>
    <t>J/kg/K</t>
  </si>
  <si>
    <t>h</t>
  </si>
  <si>
    <t>W/m²/K</t>
  </si>
  <si>
    <t>T1</t>
  </si>
  <si>
    <t>T2</t>
  </si>
  <si>
    <t>°C</t>
  </si>
  <si>
    <t>V</t>
  </si>
  <si>
    <t>Re</t>
  </si>
  <si>
    <t>Ri</t>
  </si>
  <si>
    <t>m^3</t>
  </si>
  <si>
    <t>K</t>
  </si>
  <si>
    <t>T</t>
  </si>
  <si>
    <t>A</t>
  </si>
  <si>
    <t>s</t>
  </si>
  <si>
    <t>min</t>
  </si>
  <si>
    <t>f</t>
  </si>
  <si>
    <t>s^(-1)</t>
  </si>
  <si>
    <t>ω</t>
  </si>
  <si>
    <t>rd/s</t>
  </si>
  <si>
    <t>T0</t>
  </si>
  <si>
    <t>ωc</t>
  </si>
  <si>
    <t>log(ωc)</t>
  </si>
  <si>
    <t>log(ω)</t>
  </si>
  <si>
    <t>ΔT</t>
  </si>
  <si>
    <t>G</t>
  </si>
  <si>
    <t>ρ</t>
  </si>
  <si>
    <t>ρc</t>
  </si>
  <si>
    <t>Matériau</t>
  </si>
  <si>
    <t>Acier</t>
  </si>
  <si>
    <t>Titane</t>
  </si>
  <si>
    <t>c (J/kg/K)</t>
  </si>
  <si>
    <t>ρc (J/m^3/K)</t>
  </si>
  <si>
    <t>|H|</t>
  </si>
  <si>
    <t>T e(t)</t>
  </si>
  <si>
    <t>J/m^3/K</t>
  </si>
  <si>
    <t>Données</t>
  </si>
  <si>
    <t>1° ordre</t>
  </si>
  <si>
    <t>Entrée</t>
  </si>
  <si>
    <t>Cahier des charges</t>
  </si>
  <si>
    <t>Aluminium</t>
  </si>
  <si>
    <t>Choix matériau</t>
  </si>
  <si>
    <t>s0</t>
  </si>
  <si>
    <t>ϕ</t>
  </si>
  <si>
    <t>rd</t>
  </si>
  <si>
    <t>°</t>
  </si>
  <si>
    <t>Sortie avec matériau initial</t>
  </si>
  <si>
    <t>Sortie avec matériau final</t>
  </si>
  <si>
    <t>Tm</t>
  </si>
  <si>
    <t>ωc'</t>
  </si>
  <si>
    <t>Fréquence de rotation ?</t>
  </si>
  <si>
    <t>T'</t>
  </si>
  <si>
    <t>f'</t>
  </si>
  <si>
    <t>m²</t>
  </si>
  <si>
    <t>ρ (kg/m^3)</t>
  </si>
  <si>
    <t>kg/m^3</t>
  </si>
  <si>
    <t>db</t>
  </si>
  <si>
    <t>mm</t>
  </si>
  <si>
    <t>m</t>
  </si>
  <si>
    <t>|H| lim</t>
  </si>
  <si>
    <t>tϕ</t>
  </si>
  <si>
    <t>tr</t>
  </si>
  <si>
    <t>T''</t>
  </si>
  <si>
    <t>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</si>
</sst>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81E779"/>
        </patternFill>
      </fill>
    </dxf>
  </dxfs>
  <tableStyles count="0" defaultTableStyle="TableStyleMedium2" defaultPivotStyle="PivotStyleMedium9"/>
  <colors>
    <mruColors>
      <color rgb="FF81E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tabSelected="1" zoomScaleNormal="100" workbookViewId="0">
      <selection activeCell="G7" sqref="G7"/>
    </sheetView>
  </sheetViews>
  <sheetFormatPr baseColWidth="10" defaultColWidth="9.140625" defaultRowHeight="15" x14ac:dyDescent="0.25"/>
  <cols>
    <col min="1" max="9" width="9.140625" style="1"/>
    <col min="10" max="10" width="10.85546875" style="1" bestFit="1" customWidth="1"/>
    <col min="11" max="11" width="10.7109375" style="1" bestFit="1" customWidth="1"/>
    <col min="12" max="12" width="9.28515625" style="1" bestFit="1" customWidth="1"/>
    <col min="13" max="13" width="12.140625" style="1" bestFit="1" customWidth="1"/>
    <col min="14" max="16384" width="9.140625" style="1"/>
  </cols>
  <sheetData>
    <row r="1" spans="2:13" ht="15.75" thickBot="1" x14ac:dyDescent="0.3">
      <c r="B1" s="51" t="s">
        <v>37</v>
      </c>
      <c r="C1" s="52"/>
      <c r="D1" s="53"/>
      <c r="F1" s="51" t="s">
        <v>38</v>
      </c>
      <c r="G1" s="52"/>
      <c r="H1" s="53"/>
    </row>
    <row r="2" spans="2:13" ht="15.75" thickBot="1" x14ac:dyDescent="0.3">
      <c r="B2" s="23" t="s">
        <v>27</v>
      </c>
      <c r="C2" s="47">
        <v>2700</v>
      </c>
      <c r="D2" s="24" t="s">
        <v>1</v>
      </c>
      <c r="F2" s="33" t="s">
        <v>12</v>
      </c>
      <c r="G2" s="43">
        <v>1</v>
      </c>
      <c r="H2" s="24"/>
      <c r="J2" s="2" t="s">
        <v>29</v>
      </c>
      <c r="K2" s="3" t="s">
        <v>55</v>
      </c>
      <c r="L2" s="4" t="s">
        <v>32</v>
      </c>
      <c r="M2" s="8" t="s">
        <v>33</v>
      </c>
    </row>
    <row r="3" spans="2:13" x14ac:dyDescent="0.25">
      <c r="B3" s="44" t="s">
        <v>0</v>
      </c>
      <c r="C3" s="9">
        <v>888</v>
      </c>
      <c r="D3" s="11" t="s">
        <v>2</v>
      </c>
      <c r="F3" s="49" t="s">
        <v>13</v>
      </c>
      <c r="G3" s="40">
        <f>C2*C14*C3/(C4*C13)</f>
        <v>5850.1439999999993</v>
      </c>
      <c r="H3" s="11" t="s">
        <v>15</v>
      </c>
      <c r="J3" s="26" t="s">
        <v>41</v>
      </c>
      <c r="K3" s="15">
        <v>2700</v>
      </c>
      <c r="L3" s="27">
        <v>888</v>
      </c>
      <c r="M3" s="7">
        <f>K3*L3</f>
        <v>2397600</v>
      </c>
    </row>
    <row r="4" spans="2:13" x14ac:dyDescent="0.25">
      <c r="B4" s="44" t="s">
        <v>3</v>
      </c>
      <c r="C4" s="9">
        <v>10</v>
      </c>
      <c r="D4" s="11" t="s">
        <v>4</v>
      </c>
      <c r="F4" s="49"/>
      <c r="G4" s="10">
        <f>G3/60</f>
        <v>97.502399999999994</v>
      </c>
      <c r="H4" s="11" t="s">
        <v>16</v>
      </c>
      <c r="J4" s="28" t="s">
        <v>30</v>
      </c>
      <c r="K4" s="9">
        <v>7850</v>
      </c>
      <c r="L4" s="29">
        <v>465</v>
      </c>
      <c r="M4" s="5">
        <f>K4*L4</f>
        <v>3650250</v>
      </c>
    </row>
    <row r="5" spans="2:13" ht="15.75" thickBot="1" x14ac:dyDescent="0.3">
      <c r="B5" s="49" t="s">
        <v>5</v>
      </c>
      <c r="C5" s="9">
        <v>0</v>
      </c>
      <c r="D5" s="11" t="s">
        <v>7</v>
      </c>
      <c r="F5" s="49" t="s">
        <v>62</v>
      </c>
      <c r="G5" s="10">
        <f>3*G3</f>
        <v>17550.431999999997</v>
      </c>
      <c r="H5" s="11" t="s">
        <v>15</v>
      </c>
      <c r="J5" s="30" t="s">
        <v>31</v>
      </c>
      <c r="K5" s="31">
        <v>4500</v>
      </c>
      <c r="L5" s="32">
        <v>522</v>
      </c>
      <c r="M5" s="6">
        <f>K5*L5</f>
        <v>2349000</v>
      </c>
    </row>
    <row r="6" spans="2:13" ht="15.75" thickBot="1" x14ac:dyDescent="0.3">
      <c r="B6" s="49"/>
      <c r="C6" s="10">
        <f>C5+273.15</f>
        <v>273.14999999999998</v>
      </c>
      <c r="D6" s="11" t="s">
        <v>12</v>
      </c>
      <c r="F6" s="49"/>
      <c r="G6" s="10">
        <f>G5/3600</f>
        <v>4.875119999999999</v>
      </c>
      <c r="H6" s="11" t="s">
        <v>3</v>
      </c>
    </row>
    <row r="7" spans="2:13" ht="15.75" thickBot="1" x14ac:dyDescent="0.3">
      <c r="B7" s="49" t="s">
        <v>6</v>
      </c>
      <c r="C7" s="9">
        <v>100</v>
      </c>
      <c r="D7" s="11" t="s">
        <v>7</v>
      </c>
      <c r="F7" s="45" t="s">
        <v>22</v>
      </c>
      <c r="G7" s="10">
        <f>1/G3</f>
        <v>1.7093596328569008E-4</v>
      </c>
      <c r="H7" s="11" t="s">
        <v>20</v>
      </c>
      <c r="J7" s="51" t="s">
        <v>48</v>
      </c>
      <c r="K7" s="52"/>
      <c r="L7" s="53"/>
    </row>
    <row r="8" spans="2:13" ht="15.75" thickBot="1" x14ac:dyDescent="0.3">
      <c r="B8" s="49"/>
      <c r="C8" s="10">
        <f>C7+273.15</f>
        <v>373.15</v>
      </c>
      <c r="D8" s="11" t="s">
        <v>12</v>
      </c>
      <c r="F8" s="46" t="s">
        <v>23</v>
      </c>
      <c r="G8" s="16">
        <f>LOG(G7)</f>
        <v>-3.7671665562763179</v>
      </c>
      <c r="H8" s="14"/>
      <c r="J8" s="55" t="s">
        <v>30</v>
      </c>
      <c r="K8" s="56"/>
      <c r="L8" s="57"/>
    </row>
    <row r="9" spans="2:13" ht="15.75" thickBot="1" x14ac:dyDescent="0.3">
      <c r="B9" s="49" t="s">
        <v>10</v>
      </c>
      <c r="C9" s="9">
        <v>120</v>
      </c>
      <c r="D9" s="11" t="s">
        <v>58</v>
      </c>
      <c r="J9" s="23" t="s">
        <v>27</v>
      </c>
      <c r="K9" s="25">
        <f>IF(J8=J3,K3,IF(J8=J4,K4,IF(J8=J5,K5,"RAS")))</f>
        <v>7850</v>
      </c>
      <c r="L9" s="24" t="s">
        <v>56</v>
      </c>
    </row>
    <row r="10" spans="2:13" ht="15.75" thickBot="1" x14ac:dyDescent="0.3">
      <c r="B10" s="49"/>
      <c r="C10" s="10">
        <f>C9/1000</f>
        <v>0.12</v>
      </c>
      <c r="D10" s="11" t="s">
        <v>59</v>
      </c>
      <c r="F10" s="51" t="s">
        <v>39</v>
      </c>
      <c r="G10" s="52"/>
      <c r="H10" s="53"/>
      <c r="J10" s="38" t="s">
        <v>0</v>
      </c>
      <c r="K10" s="19">
        <f>IF(J8=J3,L3,IF(J8=J4,L4,IF(J8=J5,L5,"RAS")))</f>
        <v>465</v>
      </c>
      <c r="L10" s="11" t="s">
        <v>2</v>
      </c>
    </row>
    <row r="11" spans="2:13" x14ac:dyDescent="0.25">
      <c r="B11" s="49" t="s">
        <v>9</v>
      </c>
      <c r="C11" s="9">
        <v>150</v>
      </c>
      <c r="D11" s="11" t="s">
        <v>58</v>
      </c>
      <c r="F11" s="33" t="s">
        <v>49</v>
      </c>
      <c r="G11" s="34">
        <f>(C5+C7)/2</f>
        <v>50</v>
      </c>
      <c r="H11" s="24" t="s">
        <v>7</v>
      </c>
      <c r="J11" s="49" t="s">
        <v>13</v>
      </c>
      <c r="K11" s="10">
        <f>K9*C14*K10/(C4*C13)</f>
        <v>8906.6099999999988</v>
      </c>
      <c r="L11" s="11" t="s">
        <v>15</v>
      </c>
    </row>
    <row r="12" spans="2:13" x14ac:dyDescent="0.25">
      <c r="B12" s="49"/>
      <c r="C12" s="10">
        <f>C11/1000</f>
        <v>0.15</v>
      </c>
      <c r="D12" s="11" t="s">
        <v>59</v>
      </c>
      <c r="F12" s="20" t="s">
        <v>21</v>
      </c>
      <c r="G12" s="10">
        <f>(C5+C7)/2</f>
        <v>50</v>
      </c>
      <c r="H12" s="11" t="s">
        <v>7</v>
      </c>
      <c r="J12" s="49"/>
      <c r="K12" s="21">
        <f>K11/3600</f>
        <v>2.4740583333333328</v>
      </c>
      <c r="L12" s="11" t="s">
        <v>3</v>
      </c>
    </row>
    <row r="13" spans="2:13" x14ac:dyDescent="0.25">
      <c r="B13" s="44" t="s">
        <v>14</v>
      </c>
      <c r="C13" s="10">
        <f>4*PI()*C12^2</f>
        <v>0.28274333882308139</v>
      </c>
      <c r="D13" s="11" t="s">
        <v>54</v>
      </c>
      <c r="F13" s="49" t="s">
        <v>35</v>
      </c>
      <c r="G13" s="9">
        <v>8</v>
      </c>
      <c r="H13" s="11" t="s">
        <v>3</v>
      </c>
      <c r="J13" s="38" t="s">
        <v>22</v>
      </c>
      <c r="K13" s="10">
        <f>1/K11</f>
        <v>1.1227616343367456E-4</v>
      </c>
      <c r="L13" s="11" t="s">
        <v>20</v>
      </c>
    </row>
    <row r="14" spans="2:13" x14ac:dyDescent="0.25">
      <c r="B14" s="44" t="s">
        <v>8</v>
      </c>
      <c r="C14" s="10">
        <f>(4/3)*PI()*(C12^3-C10^3)</f>
        <v>6.8989374672831852E-3</v>
      </c>
      <c r="D14" s="11" t="s">
        <v>11</v>
      </c>
      <c r="F14" s="49"/>
      <c r="G14" s="10">
        <f>G13*3600</f>
        <v>28800</v>
      </c>
      <c r="H14" s="11" t="s">
        <v>15</v>
      </c>
      <c r="J14" s="38" t="s">
        <v>23</v>
      </c>
      <c r="K14" s="21">
        <f>LOG(K13)</f>
        <v>-3.949712435973936</v>
      </c>
      <c r="L14" s="11"/>
    </row>
    <row r="15" spans="2:13" x14ac:dyDescent="0.25">
      <c r="B15" s="61" t="s">
        <v>64</v>
      </c>
      <c r="C15" s="48">
        <v>20</v>
      </c>
      <c r="D15" s="11" t="s">
        <v>7</v>
      </c>
      <c r="F15" s="20" t="s">
        <v>17</v>
      </c>
      <c r="G15" s="10">
        <f>1/G14</f>
        <v>3.4722222222222222E-5</v>
      </c>
      <c r="H15" s="11" t="s">
        <v>18</v>
      </c>
      <c r="J15" s="38" t="s">
        <v>34</v>
      </c>
      <c r="K15" s="21">
        <f>G2/SQRT(1+K11^2*G16^2)</f>
        <v>0.45759432533309047</v>
      </c>
      <c r="L15" s="11"/>
    </row>
    <row r="16" spans="2:13" ht="15.75" thickBot="1" x14ac:dyDescent="0.3">
      <c r="B16" s="62"/>
      <c r="C16" s="13">
        <f>C15+273.15</f>
        <v>293.14999999999998</v>
      </c>
      <c r="D16" s="14" t="s">
        <v>12</v>
      </c>
      <c r="F16" s="22" t="s">
        <v>19</v>
      </c>
      <c r="G16" s="10">
        <f>2*PI()/G14</f>
        <v>2.181661564992912E-4</v>
      </c>
      <c r="H16" s="11" t="s">
        <v>20</v>
      </c>
      <c r="J16" s="38" t="s">
        <v>26</v>
      </c>
      <c r="K16" s="21">
        <f>20*LOG(K15)</f>
        <v>-6.7903873981033751</v>
      </c>
      <c r="L16" s="11" t="s">
        <v>57</v>
      </c>
    </row>
    <row r="17" spans="6:12" ht="15.75" thickBot="1" x14ac:dyDescent="0.3">
      <c r="F17" s="12" t="s">
        <v>24</v>
      </c>
      <c r="G17" s="13">
        <f>LOG(G16)</f>
        <v>-3.6612126194011156</v>
      </c>
      <c r="H17" s="14"/>
      <c r="J17" s="38" t="s">
        <v>43</v>
      </c>
      <c r="K17" s="37">
        <f>G23*G12</f>
        <v>30.837474549494914</v>
      </c>
      <c r="L17" s="11" t="s">
        <v>7</v>
      </c>
    </row>
    <row r="18" spans="6:12" ht="15.75" thickBot="1" x14ac:dyDescent="0.3">
      <c r="J18" s="54" t="s">
        <v>44</v>
      </c>
      <c r="K18" s="37">
        <f>-ATAN(G16*K11)</f>
        <v>-1.0955085732962673</v>
      </c>
      <c r="L18" s="11" t="s">
        <v>45</v>
      </c>
    </row>
    <row r="19" spans="6:12" ht="15.75" thickBot="1" x14ac:dyDescent="0.3">
      <c r="F19" s="58" t="s">
        <v>40</v>
      </c>
      <c r="G19" s="59"/>
      <c r="H19" s="60"/>
      <c r="J19" s="54"/>
      <c r="K19" s="21">
        <f>K18*180/PI()</f>
        <v>-62.768017670274311</v>
      </c>
      <c r="L19" s="11" t="s">
        <v>46</v>
      </c>
    </row>
    <row r="20" spans="6:12" ht="15.75" thickBot="1" x14ac:dyDescent="0.3">
      <c r="F20" s="17" t="s">
        <v>25</v>
      </c>
      <c r="G20" s="35">
        <v>50</v>
      </c>
      <c r="H20" s="18" t="s">
        <v>7</v>
      </c>
      <c r="J20" s="49" t="s">
        <v>61</v>
      </c>
      <c r="K20" s="21">
        <f>ABS(K18)/G16</f>
        <v>5021.4414136219448</v>
      </c>
      <c r="L20" s="11" t="s">
        <v>15</v>
      </c>
    </row>
    <row r="21" spans="6:12" ht="15.75" thickBot="1" x14ac:dyDescent="0.3">
      <c r="J21" s="50"/>
      <c r="K21" s="16">
        <f>K20/3600</f>
        <v>1.3948448371172069</v>
      </c>
      <c r="L21" s="14" t="s">
        <v>3</v>
      </c>
    </row>
    <row r="22" spans="6:12" ht="15.75" thickBot="1" x14ac:dyDescent="0.3">
      <c r="F22" s="51" t="s">
        <v>47</v>
      </c>
      <c r="G22" s="52"/>
      <c r="H22" s="53"/>
    </row>
    <row r="23" spans="6:12" x14ac:dyDescent="0.25">
      <c r="F23" s="33" t="s">
        <v>60</v>
      </c>
      <c r="G23" s="39">
        <f>G2/SQRT(1+G3^2*G16^2)</f>
        <v>0.61674949098989829</v>
      </c>
      <c r="H23" s="24"/>
    </row>
    <row r="24" spans="6:12" x14ac:dyDescent="0.25">
      <c r="F24" s="38" t="s">
        <v>26</v>
      </c>
      <c r="G24" s="21">
        <f>20*LOG(G23)</f>
        <v>-4.197824005321305</v>
      </c>
      <c r="H24" s="11" t="s">
        <v>57</v>
      </c>
    </row>
    <row r="25" spans="6:12" x14ac:dyDescent="0.25">
      <c r="F25" s="38" t="s">
        <v>43</v>
      </c>
      <c r="G25" s="37">
        <f>G23*G12</f>
        <v>30.837474549494914</v>
      </c>
      <c r="H25" s="11" t="s">
        <v>7</v>
      </c>
    </row>
    <row r="26" spans="6:12" ht="15.75" thickBot="1" x14ac:dyDescent="0.3">
      <c r="F26" s="54" t="s">
        <v>44</v>
      </c>
      <c r="G26" s="37">
        <f>-ATAN(G16*G3)</f>
        <v>-0.90618975338896157</v>
      </c>
      <c r="H26" s="11" t="s">
        <v>45</v>
      </c>
    </row>
    <row r="27" spans="6:12" ht="15.75" thickBot="1" x14ac:dyDescent="0.3">
      <c r="F27" s="54"/>
      <c r="G27" s="21">
        <f>G26*180/PI()</f>
        <v>-51.920848307188386</v>
      </c>
      <c r="H27" s="11" t="s">
        <v>46</v>
      </c>
      <c r="J27" s="51" t="s">
        <v>42</v>
      </c>
      <c r="K27" s="52"/>
      <c r="L27" s="53"/>
    </row>
    <row r="28" spans="6:12" x14ac:dyDescent="0.25">
      <c r="F28" s="49" t="s">
        <v>61</v>
      </c>
      <c r="G28" s="21">
        <f>ABS(G26)/G16</f>
        <v>4153.6678645750708</v>
      </c>
      <c r="H28" s="11" t="s">
        <v>15</v>
      </c>
      <c r="J28" s="33" t="s">
        <v>60</v>
      </c>
      <c r="K28" s="39">
        <f>G20/2/G12</f>
        <v>0.5</v>
      </c>
      <c r="L28" s="24"/>
    </row>
    <row r="29" spans="6:12" ht="15.75" thickBot="1" x14ac:dyDescent="0.3">
      <c r="F29" s="50"/>
      <c r="G29" s="16">
        <f>G28/3600</f>
        <v>1.1537966290486308</v>
      </c>
      <c r="H29" s="14" t="s">
        <v>3</v>
      </c>
      <c r="J29" s="41" t="s">
        <v>26</v>
      </c>
      <c r="K29" s="21">
        <f>20*LOG(K28)</f>
        <v>-6.0205999132796242</v>
      </c>
      <c r="L29" s="11" t="s">
        <v>57</v>
      </c>
    </row>
    <row r="30" spans="6:12" ht="15.75" thickBot="1" x14ac:dyDescent="0.3">
      <c r="J30" s="49" t="s">
        <v>63</v>
      </c>
      <c r="K30" s="19">
        <f>SQRT(((G2/K28)^2-1)/G16^2)</f>
        <v>7939.136094073805</v>
      </c>
      <c r="L30" s="11" t="s">
        <v>15</v>
      </c>
    </row>
    <row r="31" spans="6:12" ht="15.75" thickBot="1" x14ac:dyDescent="0.3">
      <c r="F31" s="51" t="s">
        <v>51</v>
      </c>
      <c r="G31" s="52"/>
      <c r="H31" s="53"/>
      <c r="J31" s="49"/>
      <c r="K31" s="10">
        <f>K30/3600</f>
        <v>2.2053155816871679</v>
      </c>
      <c r="L31" s="11" t="s">
        <v>3</v>
      </c>
    </row>
    <row r="32" spans="6:12" ht="15.75" thickBot="1" x14ac:dyDescent="0.3">
      <c r="F32" s="33" t="s">
        <v>34</v>
      </c>
      <c r="G32" s="39">
        <f>G20/2/G12</f>
        <v>0.5</v>
      </c>
      <c r="H32" s="24"/>
      <c r="J32" s="42" t="s">
        <v>28</v>
      </c>
      <c r="K32" s="36">
        <f>K30*C4*C13/C14</f>
        <v>3253744.3008499206</v>
      </c>
      <c r="L32" s="14" t="s">
        <v>36</v>
      </c>
    </row>
    <row r="33" spans="6:8" x14ac:dyDescent="0.25">
      <c r="F33" s="20" t="s">
        <v>26</v>
      </c>
      <c r="G33" s="21">
        <f>20*LOG(G32)</f>
        <v>-6.0205999132796242</v>
      </c>
      <c r="H33" s="11" t="s">
        <v>57</v>
      </c>
    </row>
    <row r="34" spans="6:8" x14ac:dyDescent="0.25">
      <c r="F34" s="20" t="s">
        <v>50</v>
      </c>
      <c r="G34" s="19">
        <f>SQRT(((G2/G32)^2-1)/G3^2)</f>
        <v>2.9606977325154346E-4</v>
      </c>
      <c r="H34" s="11" t="s">
        <v>20</v>
      </c>
    </row>
    <row r="35" spans="6:8" x14ac:dyDescent="0.25">
      <c r="F35" s="20" t="s">
        <v>53</v>
      </c>
      <c r="G35" s="10">
        <f>G34/(2*PI())</f>
        <v>4.712096791307976E-5</v>
      </c>
      <c r="H35" s="11" t="s">
        <v>18</v>
      </c>
    </row>
    <row r="36" spans="6:8" x14ac:dyDescent="0.25">
      <c r="F36" s="20" t="s">
        <v>52</v>
      </c>
      <c r="G36" s="10">
        <f>1/G35</f>
        <v>21221.974935757244</v>
      </c>
      <c r="H36" s="11" t="s">
        <v>15</v>
      </c>
    </row>
    <row r="37" spans="6:8" ht="15.75" thickBot="1" x14ac:dyDescent="0.3">
      <c r="F37" s="12" t="s">
        <v>52</v>
      </c>
      <c r="G37" s="36">
        <f>G36/3600</f>
        <v>5.8949930377103454</v>
      </c>
      <c r="H37" s="14" t="s">
        <v>3</v>
      </c>
    </row>
  </sheetData>
  <mergeCells count="23">
    <mergeCell ref="B1:D1"/>
    <mergeCell ref="F1:H1"/>
    <mergeCell ref="F10:H10"/>
    <mergeCell ref="F3:F4"/>
    <mergeCell ref="F31:H31"/>
    <mergeCell ref="B7:B8"/>
    <mergeCell ref="B5:B6"/>
    <mergeCell ref="B9:B10"/>
    <mergeCell ref="B11:B12"/>
    <mergeCell ref="B15:B16"/>
    <mergeCell ref="F5:F6"/>
    <mergeCell ref="J30:J31"/>
    <mergeCell ref="J11:J12"/>
    <mergeCell ref="J20:J21"/>
    <mergeCell ref="F28:F29"/>
    <mergeCell ref="J7:L7"/>
    <mergeCell ref="J18:J19"/>
    <mergeCell ref="J8:L8"/>
    <mergeCell ref="F19:H19"/>
    <mergeCell ref="J27:L27"/>
    <mergeCell ref="F13:F14"/>
    <mergeCell ref="F22:H22"/>
    <mergeCell ref="F26:F27"/>
  </mergeCells>
  <conditionalFormatting sqref="M3:M5">
    <cfRule type="cellIs" dxfId="0" priority="16" operator="greaterThan">
      <formula>$K$32</formula>
    </cfRule>
  </conditionalFormatting>
  <dataValidations disablePrompts="1" count="1">
    <dataValidation type="list" allowBlank="1" showInputMessage="1" showErrorMessage="1" sqref="J8:L8">
      <formula1>$J$3:$J$5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2015-11-24T22:15:52Z</dcterms:modified>
</cp:coreProperties>
</file>