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activeTab="1"/>
  </bookViews>
  <sheets>
    <sheet name="1° ordre" sheetId="2" r:id="rId1"/>
    <sheet name="2° ordre" sheetId="4" r:id="rId2"/>
  </sheets>
  <calcPr calcId="171027"/>
</workbook>
</file>

<file path=xl/calcChain.xml><?xml version="1.0" encoding="utf-8"?>
<calcChain xmlns="http://schemas.openxmlformats.org/spreadsheetml/2006/main">
  <c r="L6" i="2" l="1"/>
  <c r="L7" i="2" s="1"/>
  <c r="L5" i="2"/>
  <c r="L4" i="2"/>
  <c r="I12" i="4"/>
  <c r="F34" i="2" l="1"/>
  <c r="F38" i="4" l="1"/>
  <c r="L15" i="4" l="1"/>
  <c r="C33" i="4" l="1"/>
  <c r="G16" i="4" l="1"/>
  <c r="E14" i="4"/>
  <c r="C17" i="4"/>
  <c r="C16" i="4"/>
  <c r="C15" i="4"/>
  <c r="C14" i="4"/>
  <c r="G15" i="4"/>
  <c r="G14" i="4"/>
  <c r="E15" i="4"/>
  <c r="I34" i="4" s="1"/>
  <c r="G13" i="2"/>
  <c r="G12" i="2"/>
  <c r="N14" i="4" l="1"/>
  <c r="I33" i="4"/>
  <c r="I37" i="4" s="1"/>
  <c r="N15" i="4"/>
  <c r="J30" i="2"/>
  <c r="I30" i="2"/>
  <c r="I33" i="2" s="1"/>
  <c r="J32" i="2"/>
  <c r="L10" i="4"/>
  <c r="J36" i="4"/>
  <c r="W63" i="4"/>
  <c r="X63" i="4" s="1"/>
  <c r="J34" i="4"/>
  <c r="W64" i="4"/>
  <c r="X64" i="4" s="1"/>
  <c r="W65" i="4"/>
  <c r="X65" i="4" s="1"/>
  <c r="L11" i="4"/>
  <c r="W66" i="4"/>
  <c r="X66" i="4" s="1"/>
  <c r="W67" i="4"/>
  <c r="X67" i="4" s="1"/>
  <c r="W61" i="4"/>
  <c r="X61" i="4" s="1"/>
  <c r="W68" i="4"/>
  <c r="X68" i="4" s="1"/>
  <c r="W62" i="4"/>
  <c r="X62" i="4" s="1"/>
  <c r="M10" i="4"/>
  <c r="M8" i="4"/>
  <c r="I35" i="4"/>
  <c r="N7" i="4"/>
  <c r="G88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O15" i="4" l="1"/>
  <c r="N16" i="4"/>
  <c r="O16" i="4" s="1"/>
  <c r="L13" i="4"/>
  <c r="L12" i="4"/>
  <c r="S61" i="4"/>
  <c r="F27" i="4"/>
  <c r="R110" i="4" s="1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39" i="2"/>
  <c r="B29" i="4"/>
  <c r="L9" i="4"/>
  <c r="L14" i="4" s="1"/>
  <c r="F21" i="4" l="1"/>
  <c r="D21" i="4"/>
  <c r="L33" i="4"/>
  <c r="F28" i="4"/>
  <c r="R62" i="4"/>
  <c r="R63" i="4" s="1"/>
  <c r="S63" i="4" s="1"/>
  <c r="S110" i="4"/>
  <c r="L6" i="4"/>
  <c r="L8" i="4" s="1"/>
  <c r="F23" i="2"/>
  <c r="Q65" i="2"/>
  <c r="N11" i="4" l="1"/>
  <c r="N9" i="4"/>
  <c r="L34" i="4"/>
  <c r="L35" i="4" s="1"/>
  <c r="I36" i="4"/>
  <c r="S62" i="4"/>
  <c r="R64" i="4"/>
  <c r="L5" i="4"/>
  <c r="P114" i="2"/>
  <c r="Q114" i="2" s="1"/>
  <c r="F24" i="2"/>
  <c r="B25" i="2"/>
  <c r="J5" i="2"/>
  <c r="H29" i="4" l="1"/>
  <c r="L36" i="4"/>
  <c r="T62" i="4"/>
  <c r="T64" i="4"/>
  <c r="T63" i="4"/>
  <c r="T110" i="4"/>
  <c r="T61" i="4"/>
  <c r="L7" i="4"/>
  <c r="F20" i="4"/>
  <c r="F22" i="4" s="1"/>
  <c r="H20" i="4"/>
  <c r="P66" i="2"/>
  <c r="Q66" i="2" s="1"/>
  <c r="R65" i="4"/>
  <c r="T65" i="4" s="1"/>
  <c r="S64" i="4"/>
  <c r="J19" i="2"/>
  <c r="H19" i="2"/>
  <c r="J4" i="2"/>
  <c r="L3" i="2" s="1"/>
  <c r="J3" i="2"/>
  <c r="F17" i="2" l="1"/>
  <c r="J7" i="2"/>
  <c r="N10" i="4"/>
  <c r="N8" i="4"/>
  <c r="K11" i="2"/>
  <c r="J11" i="2" s="1"/>
  <c r="C88" i="2" s="1"/>
  <c r="D88" i="2" s="1"/>
  <c r="H88" i="2" s="1"/>
  <c r="I88" i="2" s="1"/>
  <c r="K10" i="2"/>
  <c r="J10" i="2" s="1"/>
  <c r="C39" i="2" s="1"/>
  <c r="F16" i="2"/>
  <c r="F18" i="2" s="1"/>
  <c r="F30" i="2" s="1"/>
  <c r="O5" i="4"/>
  <c r="N5" i="4" s="1"/>
  <c r="O6" i="4"/>
  <c r="N6" i="4" s="1"/>
  <c r="J20" i="4" s="1"/>
  <c r="N22" i="4" s="1"/>
  <c r="L22" i="4"/>
  <c r="J22" i="4"/>
  <c r="F34" i="4" s="1"/>
  <c r="H21" i="4"/>
  <c r="C34" i="4" s="1"/>
  <c r="H22" i="4"/>
  <c r="S65" i="4"/>
  <c r="P67" i="2"/>
  <c r="P68" i="2" s="1"/>
  <c r="R66" i="4"/>
  <c r="T66" i="4" s="1"/>
  <c r="J6" i="2"/>
  <c r="I31" i="2"/>
  <c r="D17" i="2"/>
  <c r="L88" i="2" l="1"/>
  <c r="K88" i="2"/>
  <c r="J88" i="2"/>
  <c r="H18" i="2"/>
  <c r="E88" i="2"/>
  <c r="F88" i="2" s="1"/>
  <c r="C29" i="2"/>
  <c r="C30" i="2" s="1"/>
  <c r="D20" i="4"/>
  <c r="D22" i="4" s="1"/>
  <c r="C43" i="4"/>
  <c r="D43" i="4" s="1"/>
  <c r="H43" i="4" s="1"/>
  <c r="F35" i="4"/>
  <c r="F36" i="4" s="1"/>
  <c r="C39" i="4"/>
  <c r="C35" i="4"/>
  <c r="F33" i="4" s="1"/>
  <c r="C40" i="4"/>
  <c r="C92" i="4"/>
  <c r="D92" i="4" s="1"/>
  <c r="H92" i="4" s="1"/>
  <c r="J21" i="4"/>
  <c r="Q67" i="2"/>
  <c r="F31" i="2"/>
  <c r="F32" i="2" s="1"/>
  <c r="S66" i="4"/>
  <c r="R67" i="4"/>
  <c r="T67" i="4" s="1"/>
  <c r="D39" i="2"/>
  <c r="H39" i="2" s="1"/>
  <c r="I39" i="2" s="1"/>
  <c r="C40" i="2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P69" i="2"/>
  <c r="Q68" i="2"/>
  <c r="I32" i="2"/>
  <c r="L29" i="2"/>
  <c r="H16" i="2"/>
  <c r="J18" i="2" s="1"/>
  <c r="D16" i="2"/>
  <c r="D18" i="2" s="1"/>
  <c r="E39" i="2" l="1"/>
  <c r="F39" i="2" s="1"/>
  <c r="L39" i="2"/>
  <c r="J39" i="2"/>
  <c r="K39" i="2"/>
  <c r="K43" i="4"/>
  <c r="L43" i="4"/>
  <c r="K92" i="4"/>
  <c r="L92" i="4"/>
  <c r="E92" i="4"/>
  <c r="F92" i="4" s="1"/>
  <c r="G92" i="4"/>
  <c r="I92" i="4" s="1"/>
  <c r="E43" i="4"/>
  <c r="F43" i="4" s="1"/>
  <c r="G43" i="4"/>
  <c r="I43" i="4" s="1"/>
  <c r="C36" i="2"/>
  <c r="D58" i="2"/>
  <c r="H58" i="2" s="1"/>
  <c r="I58" i="2" s="1"/>
  <c r="C59" i="2"/>
  <c r="C44" i="4"/>
  <c r="D44" i="4" s="1"/>
  <c r="H44" i="4" s="1"/>
  <c r="H27" i="4"/>
  <c r="R68" i="4"/>
  <c r="T68" i="4" s="1"/>
  <c r="S67" i="4"/>
  <c r="F29" i="2"/>
  <c r="H23" i="2" s="1"/>
  <c r="Q69" i="2"/>
  <c r="P70" i="2"/>
  <c r="H17" i="2"/>
  <c r="L30" i="2"/>
  <c r="D40" i="2"/>
  <c r="H40" i="2" s="1"/>
  <c r="I40" i="2" s="1"/>
  <c r="L40" i="2" l="1"/>
  <c r="K40" i="2"/>
  <c r="J40" i="2"/>
  <c r="L58" i="2"/>
  <c r="J58" i="2"/>
  <c r="K58" i="2"/>
  <c r="K44" i="4"/>
  <c r="L44" i="4"/>
  <c r="J92" i="4"/>
  <c r="J43" i="4"/>
  <c r="E44" i="4"/>
  <c r="F44" i="4" s="1"/>
  <c r="G44" i="4"/>
  <c r="I44" i="4" s="1"/>
  <c r="D59" i="2"/>
  <c r="H59" i="2" s="1"/>
  <c r="I59" i="2" s="1"/>
  <c r="C60" i="2"/>
  <c r="E58" i="2"/>
  <c r="F58" i="2" s="1"/>
  <c r="C45" i="4"/>
  <c r="C46" i="4" s="1"/>
  <c r="L31" i="2"/>
  <c r="C35" i="2"/>
  <c r="R69" i="4"/>
  <c r="T69" i="4" s="1"/>
  <c r="S68" i="4"/>
  <c r="Q70" i="2"/>
  <c r="P71" i="2"/>
  <c r="E40" i="2"/>
  <c r="F40" i="2" s="1"/>
  <c r="D41" i="2"/>
  <c r="H41" i="2" s="1"/>
  <c r="I41" i="2" s="1"/>
  <c r="H25" i="2" l="1"/>
  <c r="L32" i="2"/>
  <c r="L59" i="2"/>
  <c r="J59" i="2"/>
  <c r="K59" i="2"/>
  <c r="J41" i="2"/>
  <c r="L41" i="2"/>
  <c r="K41" i="2"/>
  <c r="J44" i="4"/>
  <c r="D60" i="2"/>
  <c r="H60" i="2" s="1"/>
  <c r="I60" i="2" s="1"/>
  <c r="C61" i="2"/>
  <c r="E59" i="2"/>
  <c r="F59" i="2" s="1"/>
  <c r="D45" i="4"/>
  <c r="H45" i="4" s="1"/>
  <c r="R65" i="2"/>
  <c r="R114" i="2"/>
  <c r="R67" i="2"/>
  <c r="R66" i="2"/>
  <c r="R68" i="2"/>
  <c r="R71" i="2"/>
  <c r="R70" i="2"/>
  <c r="R69" i="2"/>
  <c r="R70" i="4"/>
  <c r="T70" i="4" s="1"/>
  <c r="S69" i="4"/>
  <c r="D46" i="4"/>
  <c r="H46" i="4" s="1"/>
  <c r="C47" i="4"/>
  <c r="P72" i="2"/>
  <c r="R72" i="2" s="1"/>
  <c r="Q71" i="2"/>
  <c r="E41" i="2"/>
  <c r="F41" i="2" s="1"/>
  <c r="D42" i="2"/>
  <c r="H42" i="2" s="1"/>
  <c r="I42" i="2" s="1"/>
  <c r="J42" i="2" l="1"/>
  <c r="L42" i="2"/>
  <c r="K42" i="2"/>
  <c r="J60" i="2"/>
  <c r="L60" i="2"/>
  <c r="K60" i="2"/>
  <c r="K45" i="4"/>
  <c r="L45" i="4"/>
  <c r="K46" i="4"/>
  <c r="L46" i="4"/>
  <c r="E45" i="4"/>
  <c r="F45" i="4" s="1"/>
  <c r="G45" i="4"/>
  <c r="I45" i="4" s="1"/>
  <c r="E46" i="4"/>
  <c r="F46" i="4" s="1"/>
  <c r="G46" i="4"/>
  <c r="I46" i="4" s="1"/>
  <c r="D61" i="2"/>
  <c r="H61" i="2" s="1"/>
  <c r="I61" i="2" s="1"/>
  <c r="C62" i="2"/>
  <c r="E60" i="2"/>
  <c r="F60" i="2" s="1"/>
  <c r="S70" i="4"/>
  <c r="R71" i="4"/>
  <c r="T71" i="4" s="1"/>
  <c r="D47" i="4"/>
  <c r="H47" i="4" s="1"/>
  <c r="C48" i="4"/>
  <c r="P73" i="2"/>
  <c r="R73" i="2" s="1"/>
  <c r="Q72" i="2"/>
  <c r="E42" i="2"/>
  <c r="F42" i="2" s="1"/>
  <c r="D43" i="2"/>
  <c r="H43" i="2" s="1"/>
  <c r="I43" i="2" s="1"/>
  <c r="J43" i="2" l="1"/>
  <c r="L43" i="2"/>
  <c r="K43" i="2"/>
  <c r="J61" i="2"/>
  <c r="K61" i="2"/>
  <c r="L61" i="2"/>
  <c r="K47" i="4"/>
  <c r="L47" i="4"/>
  <c r="J46" i="4"/>
  <c r="E47" i="4"/>
  <c r="F47" i="4" s="1"/>
  <c r="G47" i="4"/>
  <c r="I47" i="4" s="1"/>
  <c r="J45" i="4"/>
  <c r="D62" i="2"/>
  <c r="H62" i="2" s="1"/>
  <c r="I62" i="2" s="1"/>
  <c r="C63" i="2"/>
  <c r="E61" i="2"/>
  <c r="F61" i="2" s="1"/>
  <c r="S71" i="4"/>
  <c r="R72" i="4"/>
  <c r="T72" i="4" s="1"/>
  <c r="C49" i="4"/>
  <c r="D48" i="4"/>
  <c r="H48" i="4" s="1"/>
  <c r="P74" i="2"/>
  <c r="R74" i="2" s="1"/>
  <c r="Q73" i="2"/>
  <c r="E43" i="2"/>
  <c r="F43" i="2" s="1"/>
  <c r="D44" i="2"/>
  <c r="H44" i="2" s="1"/>
  <c r="I44" i="2" s="1"/>
  <c r="K62" i="2" l="1"/>
  <c r="L62" i="2"/>
  <c r="K44" i="2"/>
  <c r="L44" i="2"/>
  <c r="K48" i="4"/>
  <c r="L48" i="4"/>
  <c r="J47" i="4"/>
  <c r="E48" i="4"/>
  <c r="F48" i="4" s="1"/>
  <c r="G48" i="4"/>
  <c r="I48" i="4" s="1"/>
  <c r="D63" i="2"/>
  <c r="H63" i="2" s="1"/>
  <c r="I63" i="2" s="1"/>
  <c r="C64" i="2"/>
  <c r="J62" i="2"/>
  <c r="E62" i="2"/>
  <c r="F62" i="2" s="1"/>
  <c r="S72" i="4"/>
  <c r="R73" i="4"/>
  <c r="T73" i="4" s="1"/>
  <c r="C50" i="4"/>
  <c r="D49" i="4"/>
  <c r="H49" i="4" s="1"/>
  <c r="P75" i="2"/>
  <c r="R75" i="2" s="1"/>
  <c r="Q74" i="2"/>
  <c r="E44" i="2"/>
  <c r="F44" i="2" s="1"/>
  <c r="J44" i="2"/>
  <c r="D45" i="2"/>
  <c r="H45" i="2" s="1"/>
  <c r="I45" i="2" s="1"/>
  <c r="K45" i="2" l="1"/>
  <c r="L45" i="2"/>
  <c r="K63" i="2"/>
  <c r="J63" i="2"/>
  <c r="L63" i="2"/>
  <c r="K49" i="4"/>
  <c r="L49" i="4"/>
  <c r="J48" i="4"/>
  <c r="E49" i="4"/>
  <c r="F49" i="4" s="1"/>
  <c r="G49" i="4"/>
  <c r="I49" i="4" s="1"/>
  <c r="D64" i="2"/>
  <c r="H64" i="2" s="1"/>
  <c r="I64" i="2" s="1"/>
  <c r="C65" i="2"/>
  <c r="E63" i="2"/>
  <c r="F63" i="2" s="1"/>
  <c r="R74" i="4"/>
  <c r="T74" i="4" s="1"/>
  <c r="S73" i="4"/>
  <c r="D50" i="4"/>
  <c r="H50" i="4" s="1"/>
  <c r="C51" i="4"/>
  <c r="P76" i="2"/>
  <c r="R76" i="2" s="1"/>
  <c r="Q75" i="2"/>
  <c r="E45" i="2"/>
  <c r="F45" i="2" s="1"/>
  <c r="J45" i="2"/>
  <c r="D46" i="2"/>
  <c r="H46" i="2" s="1"/>
  <c r="I46" i="2" s="1"/>
  <c r="K46" i="2" l="1"/>
  <c r="L46" i="2"/>
  <c r="L64" i="2"/>
  <c r="K64" i="2"/>
  <c r="J64" i="2"/>
  <c r="K50" i="4"/>
  <c r="L50" i="4"/>
  <c r="J49" i="4"/>
  <c r="E50" i="4"/>
  <c r="F50" i="4" s="1"/>
  <c r="G50" i="4"/>
  <c r="I50" i="4" s="1"/>
  <c r="D65" i="2"/>
  <c r="H65" i="2" s="1"/>
  <c r="I65" i="2" s="1"/>
  <c r="C66" i="2"/>
  <c r="E64" i="2"/>
  <c r="F64" i="2" s="1"/>
  <c r="S74" i="4"/>
  <c r="R75" i="4"/>
  <c r="T75" i="4" s="1"/>
  <c r="D51" i="4"/>
  <c r="H51" i="4" s="1"/>
  <c r="C52" i="4"/>
  <c r="P77" i="2"/>
  <c r="R77" i="2" s="1"/>
  <c r="Q76" i="2"/>
  <c r="E46" i="2"/>
  <c r="F46" i="2" s="1"/>
  <c r="J46" i="2"/>
  <c r="D47" i="2"/>
  <c r="H47" i="2" s="1"/>
  <c r="I47" i="2" s="1"/>
  <c r="K47" i="2" l="1"/>
  <c r="J47" i="2"/>
  <c r="L47" i="2"/>
  <c r="L65" i="2"/>
  <c r="K65" i="2"/>
  <c r="K51" i="4"/>
  <c r="L51" i="4"/>
  <c r="E51" i="4"/>
  <c r="F51" i="4" s="1"/>
  <c r="G51" i="4"/>
  <c r="I51" i="4" s="1"/>
  <c r="J50" i="4"/>
  <c r="D66" i="2"/>
  <c r="H66" i="2" s="1"/>
  <c r="I66" i="2" s="1"/>
  <c r="C67" i="2"/>
  <c r="E65" i="2"/>
  <c r="F65" i="2" s="1"/>
  <c r="J65" i="2"/>
  <c r="R76" i="4"/>
  <c r="T76" i="4" s="1"/>
  <c r="S75" i="4"/>
  <c r="C53" i="4"/>
  <c r="D52" i="4"/>
  <c r="H52" i="4" s="1"/>
  <c r="P78" i="2"/>
  <c r="R78" i="2" s="1"/>
  <c r="Q77" i="2"/>
  <c r="E47" i="2"/>
  <c r="F47" i="2" s="1"/>
  <c r="D48" i="2"/>
  <c r="H48" i="2" s="1"/>
  <c r="I48" i="2" s="1"/>
  <c r="L66" i="2" l="1"/>
  <c r="K66" i="2"/>
  <c r="J66" i="2"/>
  <c r="L48" i="2"/>
  <c r="J48" i="2"/>
  <c r="K48" i="2"/>
  <c r="J51" i="4"/>
  <c r="K52" i="4"/>
  <c r="L52" i="4"/>
  <c r="E52" i="4"/>
  <c r="F52" i="4" s="1"/>
  <c r="G52" i="4"/>
  <c r="I52" i="4" s="1"/>
  <c r="D67" i="2"/>
  <c r="H67" i="2" s="1"/>
  <c r="I67" i="2" s="1"/>
  <c r="C68" i="2"/>
  <c r="E66" i="2"/>
  <c r="F66" i="2" s="1"/>
  <c r="R77" i="4"/>
  <c r="T77" i="4" s="1"/>
  <c r="S76" i="4"/>
  <c r="C54" i="4"/>
  <c r="D53" i="4"/>
  <c r="H53" i="4" s="1"/>
  <c r="P79" i="2"/>
  <c r="R79" i="2" s="1"/>
  <c r="Q78" i="2"/>
  <c r="E48" i="2"/>
  <c r="F48" i="2" s="1"/>
  <c r="D49" i="2"/>
  <c r="H49" i="2" s="1"/>
  <c r="I49" i="2" s="1"/>
  <c r="J67" i="2" l="1"/>
  <c r="L67" i="2"/>
  <c r="K67" i="2"/>
  <c r="L49" i="2"/>
  <c r="J49" i="2"/>
  <c r="K49" i="2"/>
  <c r="K53" i="4"/>
  <c r="L53" i="4"/>
  <c r="E53" i="4"/>
  <c r="F53" i="4" s="1"/>
  <c r="G53" i="4"/>
  <c r="I53" i="4" s="1"/>
  <c r="J52" i="4"/>
  <c r="D68" i="2"/>
  <c r="H68" i="2" s="1"/>
  <c r="I68" i="2" s="1"/>
  <c r="C69" i="2"/>
  <c r="E67" i="2"/>
  <c r="F67" i="2" s="1"/>
  <c r="S77" i="4"/>
  <c r="R78" i="4"/>
  <c r="T78" i="4" s="1"/>
  <c r="D54" i="4"/>
  <c r="H54" i="4" s="1"/>
  <c r="C55" i="4"/>
  <c r="P80" i="2"/>
  <c r="R80" i="2" s="1"/>
  <c r="Q79" i="2"/>
  <c r="E49" i="2"/>
  <c r="F49" i="2" s="1"/>
  <c r="D50" i="2"/>
  <c r="H50" i="2" s="1"/>
  <c r="I50" i="2" s="1"/>
  <c r="J53" i="4" l="1"/>
  <c r="J68" i="2"/>
  <c r="L68" i="2"/>
  <c r="K68" i="2"/>
  <c r="L50" i="2"/>
  <c r="K50" i="2"/>
  <c r="K54" i="4"/>
  <c r="L54" i="4"/>
  <c r="E54" i="4"/>
  <c r="F54" i="4" s="1"/>
  <c r="G54" i="4"/>
  <c r="I54" i="4" s="1"/>
  <c r="D69" i="2"/>
  <c r="H69" i="2" s="1"/>
  <c r="I69" i="2" s="1"/>
  <c r="C70" i="2"/>
  <c r="E68" i="2"/>
  <c r="F68" i="2" s="1"/>
  <c r="S78" i="4"/>
  <c r="R79" i="4"/>
  <c r="T79" i="4" s="1"/>
  <c r="D55" i="4"/>
  <c r="H55" i="4" s="1"/>
  <c r="C56" i="4"/>
  <c r="P81" i="2"/>
  <c r="R81" i="2" s="1"/>
  <c r="Q80" i="2"/>
  <c r="J50" i="2"/>
  <c r="E50" i="2"/>
  <c r="F50" i="2" s="1"/>
  <c r="D51" i="2"/>
  <c r="H51" i="2" s="1"/>
  <c r="I51" i="2" s="1"/>
  <c r="J54" i="4" l="1"/>
  <c r="J69" i="2"/>
  <c r="K69" i="2"/>
  <c r="L69" i="2"/>
  <c r="L51" i="2"/>
  <c r="K51" i="2"/>
  <c r="K55" i="4"/>
  <c r="L55" i="4"/>
  <c r="E55" i="4"/>
  <c r="F55" i="4" s="1"/>
  <c r="G55" i="4"/>
  <c r="I55" i="4" s="1"/>
  <c r="D70" i="2"/>
  <c r="H70" i="2" s="1"/>
  <c r="I70" i="2" s="1"/>
  <c r="C71" i="2"/>
  <c r="E69" i="2"/>
  <c r="F69" i="2" s="1"/>
  <c r="R80" i="4"/>
  <c r="T80" i="4" s="1"/>
  <c r="S79" i="4"/>
  <c r="D56" i="4"/>
  <c r="H56" i="4" s="1"/>
  <c r="C57" i="4"/>
  <c r="P82" i="2"/>
  <c r="R82" i="2" s="1"/>
  <c r="Q81" i="2"/>
  <c r="E51" i="2"/>
  <c r="F51" i="2" s="1"/>
  <c r="J51" i="2"/>
  <c r="D52" i="2"/>
  <c r="H52" i="2" s="1"/>
  <c r="I52" i="2" s="1"/>
  <c r="J55" i="4" l="1"/>
  <c r="K70" i="2"/>
  <c r="J70" i="2"/>
  <c r="L70" i="2"/>
  <c r="K52" i="2"/>
  <c r="L52" i="2"/>
  <c r="J52" i="2"/>
  <c r="K56" i="4"/>
  <c r="L56" i="4"/>
  <c r="E56" i="4"/>
  <c r="F56" i="4" s="1"/>
  <c r="G56" i="4"/>
  <c r="I56" i="4" s="1"/>
  <c r="S80" i="4"/>
  <c r="D71" i="2"/>
  <c r="H71" i="2" s="1"/>
  <c r="I71" i="2" s="1"/>
  <c r="C72" i="2"/>
  <c r="E70" i="2"/>
  <c r="F70" i="2" s="1"/>
  <c r="R81" i="4"/>
  <c r="T81" i="4" s="1"/>
  <c r="C58" i="4"/>
  <c r="D57" i="4"/>
  <c r="H57" i="4" s="1"/>
  <c r="P83" i="2"/>
  <c r="R83" i="2" s="1"/>
  <c r="Q82" i="2"/>
  <c r="E52" i="2"/>
  <c r="F52" i="2" s="1"/>
  <c r="D53" i="2"/>
  <c r="H53" i="2" s="1"/>
  <c r="I53" i="2" s="1"/>
  <c r="J56" i="4" l="1"/>
  <c r="K71" i="2"/>
  <c r="L71" i="2"/>
  <c r="J71" i="2"/>
  <c r="L53" i="2"/>
  <c r="K53" i="2"/>
  <c r="K57" i="4"/>
  <c r="L57" i="4"/>
  <c r="E57" i="4"/>
  <c r="F57" i="4" s="1"/>
  <c r="G57" i="4"/>
  <c r="I57" i="4" s="1"/>
  <c r="R82" i="4"/>
  <c r="T82" i="4" s="1"/>
  <c r="D72" i="2"/>
  <c r="H72" i="2" s="1"/>
  <c r="I72" i="2" s="1"/>
  <c r="C73" i="2"/>
  <c r="E71" i="2"/>
  <c r="F71" i="2" s="1"/>
  <c r="S81" i="4"/>
  <c r="D58" i="4"/>
  <c r="H58" i="4" s="1"/>
  <c r="C59" i="4"/>
  <c r="P84" i="2"/>
  <c r="R84" i="2" s="1"/>
  <c r="Q83" i="2"/>
  <c r="E53" i="2"/>
  <c r="F53" i="2" s="1"/>
  <c r="J53" i="2"/>
  <c r="D54" i="2"/>
  <c r="H54" i="2" s="1"/>
  <c r="I54" i="2" s="1"/>
  <c r="J57" i="4" l="1"/>
  <c r="K54" i="2"/>
  <c r="L54" i="2"/>
  <c r="L72" i="2"/>
  <c r="J72" i="2"/>
  <c r="K72" i="2"/>
  <c r="K58" i="4"/>
  <c r="L58" i="4"/>
  <c r="E58" i="4"/>
  <c r="F58" i="4" s="1"/>
  <c r="G58" i="4"/>
  <c r="I58" i="4" s="1"/>
  <c r="S82" i="4"/>
  <c r="R83" i="4"/>
  <c r="T83" i="4" s="1"/>
  <c r="D73" i="2"/>
  <c r="H73" i="2" s="1"/>
  <c r="I73" i="2" s="1"/>
  <c r="C74" i="2"/>
  <c r="E72" i="2"/>
  <c r="F72" i="2" s="1"/>
  <c r="D59" i="4"/>
  <c r="H59" i="4" s="1"/>
  <c r="C60" i="4"/>
  <c r="P85" i="2"/>
  <c r="R85" i="2" s="1"/>
  <c r="Q84" i="2"/>
  <c r="E54" i="2"/>
  <c r="F54" i="2" s="1"/>
  <c r="J54" i="2"/>
  <c r="D55" i="2"/>
  <c r="H55" i="2" s="1"/>
  <c r="I55" i="2" s="1"/>
  <c r="J58" i="4" l="1"/>
  <c r="L55" i="2"/>
  <c r="K55" i="2"/>
  <c r="L73" i="2"/>
  <c r="K73" i="2"/>
  <c r="J73" i="2"/>
  <c r="K59" i="4"/>
  <c r="L59" i="4"/>
  <c r="R84" i="4"/>
  <c r="T84" i="4" s="1"/>
  <c r="S83" i="4"/>
  <c r="E59" i="4"/>
  <c r="F59" i="4" s="1"/>
  <c r="G59" i="4"/>
  <c r="I59" i="4" s="1"/>
  <c r="D74" i="2"/>
  <c r="H74" i="2" s="1"/>
  <c r="I74" i="2" s="1"/>
  <c r="C75" i="2"/>
  <c r="E73" i="2"/>
  <c r="F73" i="2" s="1"/>
  <c r="C61" i="4"/>
  <c r="D60" i="4"/>
  <c r="H60" i="4" s="1"/>
  <c r="P86" i="2"/>
  <c r="R86" i="2" s="1"/>
  <c r="Q85" i="2"/>
  <c r="E55" i="2"/>
  <c r="F55" i="2" s="1"/>
  <c r="J55" i="2"/>
  <c r="D56" i="2"/>
  <c r="H56" i="2" s="1"/>
  <c r="I56" i="2" s="1"/>
  <c r="J59" i="4" l="1"/>
  <c r="J74" i="2"/>
  <c r="L74" i="2"/>
  <c r="K74" i="2"/>
  <c r="L56" i="2"/>
  <c r="K56" i="2"/>
  <c r="J56" i="2"/>
  <c r="K60" i="4"/>
  <c r="L60" i="4"/>
  <c r="S84" i="4"/>
  <c r="R85" i="4"/>
  <c r="T85" i="4" s="1"/>
  <c r="E60" i="4"/>
  <c r="F60" i="4" s="1"/>
  <c r="G60" i="4"/>
  <c r="I60" i="4" s="1"/>
  <c r="D75" i="2"/>
  <c r="H75" i="2" s="1"/>
  <c r="I75" i="2" s="1"/>
  <c r="C76" i="2"/>
  <c r="E74" i="2"/>
  <c r="F74" i="2" s="1"/>
  <c r="D61" i="4"/>
  <c r="H61" i="4" s="1"/>
  <c r="C62" i="4"/>
  <c r="P87" i="2"/>
  <c r="R87" i="2" s="1"/>
  <c r="Q86" i="2"/>
  <c r="E56" i="2"/>
  <c r="F56" i="2" s="1"/>
  <c r="D57" i="2"/>
  <c r="H57" i="2" s="1"/>
  <c r="I57" i="2" s="1"/>
  <c r="S85" i="4" l="1"/>
  <c r="R86" i="4"/>
  <c r="T86" i="4" s="1"/>
  <c r="J75" i="2"/>
  <c r="L75" i="2"/>
  <c r="K75" i="2"/>
  <c r="L57" i="2"/>
  <c r="K57" i="2"/>
  <c r="J57" i="2"/>
  <c r="K61" i="4"/>
  <c r="L61" i="4"/>
  <c r="E61" i="4"/>
  <c r="F61" i="4" s="1"/>
  <c r="G61" i="4"/>
  <c r="I61" i="4" s="1"/>
  <c r="J60" i="4"/>
  <c r="D76" i="2"/>
  <c r="H76" i="2" s="1"/>
  <c r="I76" i="2" s="1"/>
  <c r="C77" i="2"/>
  <c r="E75" i="2"/>
  <c r="F75" i="2" s="1"/>
  <c r="D62" i="4"/>
  <c r="H62" i="4" s="1"/>
  <c r="C63" i="4"/>
  <c r="P88" i="2"/>
  <c r="R88" i="2" s="1"/>
  <c r="Q87" i="2"/>
  <c r="E57" i="2"/>
  <c r="F57" i="2" s="1"/>
  <c r="S86" i="4" l="1"/>
  <c r="R87" i="4"/>
  <c r="T87" i="4" s="1"/>
  <c r="J61" i="4"/>
  <c r="J76" i="2"/>
  <c r="K76" i="2"/>
  <c r="L76" i="2"/>
  <c r="K62" i="4"/>
  <c r="L62" i="4"/>
  <c r="E62" i="4"/>
  <c r="F62" i="4" s="1"/>
  <c r="G62" i="4"/>
  <c r="I62" i="4" s="1"/>
  <c r="D77" i="2"/>
  <c r="H77" i="2" s="1"/>
  <c r="I77" i="2" s="1"/>
  <c r="C78" i="2"/>
  <c r="E76" i="2"/>
  <c r="F76" i="2" s="1"/>
  <c r="D63" i="4"/>
  <c r="H63" i="4" s="1"/>
  <c r="C64" i="4"/>
  <c r="P89" i="2"/>
  <c r="R89" i="2" s="1"/>
  <c r="Q88" i="2"/>
  <c r="R88" i="4" l="1"/>
  <c r="T88" i="4" s="1"/>
  <c r="S87" i="4"/>
  <c r="J62" i="4"/>
  <c r="J77" i="2"/>
  <c r="K77" i="2"/>
  <c r="L77" i="2"/>
  <c r="K63" i="4"/>
  <c r="L63" i="4"/>
  <c r="E63" i="4"/>
  <c r="F63" i="4" s="1"/>
  <c r="G63" i="4"/>
  <c r="I63" i="4" s="1"/>
  <c r="D78" i="2"/>
  <c r="H78" i="2" s="1"/>
  <c r="I78" i="2" s="1"/>
  <c r="C79" i="2"/>
  <c r="E77" i="2"/>
  <c r="F77" i="2" s="1"/>
  <c r="D64" i="4"/>
  <c r="H64" i="4" s="1"/>
  <c r="C65" i="4"/>
  <c r="P90" i="2"/>
  <c r="R90" i="2" s="1"/>
  <c r="Q89" i="2"/>
  <c r="R89" i="4" l="1"/>
  <c r="T89" i="4" s="1"/>
  <c r="S88" i="4"/>
  <c r="J63" i="4"/>
  <c r="K78" i="2"/>
  <c r="L78" i="2"/>
  <c r="J78" i="2"/>
  <c r="K64" i="4"/>
  <c r="L64" i="4"/>
  <c r="E64" i="4"/>
  <c r="F64" i="4" s="1"/>
  <c r="G64" i="4"/>
  <c r="I64" i="4" s="1"/>
  <c r="D79" i="2"/>
  <c r="H79" i="2" s="1"/>
  <c r="I79" i="2" s="1"/>
  <c r="C80" i="2"/>
  <c r="E78" i="2"/>
  <c r="F78" i="2" s="1"/>
  <c r="C66" i="4"/>
  <c r="D65" i="4"/>
  <c r="H65" i="4" s="1"/>
  <c r="P91" i="2"/>
  <c r="R91" i="2" s="1"/>
  <c r="Q90" i="2"/>
  <c r="S89" i="4" l="1"/>
  <c r="R90" i="4"/>
  <c r="T90" i="4" s="1"/>
  <c r="J64" i="4"/>
  <c r="K79" i="2"/>
  <c r="L79" i="2"/>
  <c r="K65" i="4"/>
  <c r="L65" i="4"/>
  <c r="E65" i="4"/>
  <c r="F65" i="4" s="1"/>
  <c r="G65" i="4"/>
  <c r="I65" i="4" s="1"/>
  <c r="D80" i="2"/>
  <c r="H80" i="2" s="1"/>
  <c r="I80" i="2" s="1"/>
  <c r="C81" i="2"/>
  <c r="E79" i="2"/>
  <c r="F79" i="2" s="1"/>
  <c r="J79" i="2"/>
  <c r="D66" i="4"/>
  <c r="H66" i="4" s="1"/>
  <c r="C67" i="4"/>
  <c r="P92" i="2"/>
  <c r="R92" i="2" s="1"/>
  <c r="Q91" i="2"/>
  <c r="S90" i="4" l="1"/>
  <c r="R91" i="4"/>
  <c r="T91" i="4" s="1"/>
  <c r="J65" i="4"/>
  <c r="L80" i="2"/>
  <c r="K80" i="2"/>
  <c r="K66" i="4"/>
  <c r="L66" i="4"/>
  <c r="E66" i="4"/>
  <c r="F66" i="4" s="1"/>
  <c r="G66" i="4"/>
  <c r="I66" i="4" s="1"/>
  <c r="D81" i="2"/>
  <c r="H81" i="2" s="1"/>
  <c r="I81" i="2" s="1"/>
  <c r="C82" i="2"/>
  <c r="E80" i="2"/>
  <c r="F80" i="2" s="1"/>
  <c r="J80" i="2"/>
  <c r="C68" i="4"/>
  <c r="D67" i="4"/>
  <c r="H67" i="4" s="1"/>
  <c r="P93" i="2"/>
  <c r="R93" i="2" s="1"/>
  <c r="Q92" i="2"/>
  <c r="S91" i="4" l="1"/>
  <c r="R92" i="4"/>
  <c r="T92" i="4" s="1"/>
  <c r="J66" i="4"/>
  <c r="L81" i="2"/>
  <c r="K81" i="2"/>
  <c r="K67" i="4"/>
  <c r="L67" i="4"/>
  <c r="E67" i="4"/>
  <c r="F67" i="4" s="1"/>
  <c r="G67" i="4"/>
  <c r="I67" i="4" s="1"/>
  <c r="D82" i="2"/>
  <c r="H82" i="2" s="1"/>
  <c r="I82" i="2" s="1"/>
  <c r="C83" i="2"/>
  <c r="E81" i="2"/>
  <c r="F81" i="2" s="1"/>
  <c r="J81" i="2"/>
  <c r="C69" i="4"/>
  <c r="D68" i="4"/>
  <c r="H68" i="4" s="1"/>
  <c r="R93" i="4"/>
  <c r="T93" i="4" s="1"/>
  <c r="P94" i="2"/>
  <c r="R94" i="2" s="1"/>
  <c r="Q93" i="2"/>
  <c r="S92" i="4" l="1"/>
  <c r="J67" i="4"/>
  <c r="L82" i="2"/>
  <c r="K82" i="2"/>
  <c r="K68" i="4"/>
  <c r="L68" i="4"/>
  <c r="E68" i="4"/>
  <c r="F68" i="4" s="1"/>
  <c r="G68" i="4"/>
  <c r="I68" i="4" s="1"/>
  <c r="D83" i="2"/>
  <c r="H83" i="2" s="1"/>
  <c r="I83" i="2" s="1"/>
  <c r="C84" i="2"/>
  <c r="E82" i="2"/>
  <c r="F82" i="2" s="1"/>
  <c r="J82" i="2"/>
  <c r="C70" i="4"/>
  <c r="D69" i="4"/>
  <c r="H69" i="4" s="1"/>
  <c r="R94" i="4"/>
  <c r="T94" i="4" s="1"/>
  <c r="S93" i="4"/>
  <c r="P95" i="2"/>
  <c r="R95" i="2" s="1"/>
  <c r="Q94" i="2"/>
  <c r="J68" i="4" l="1"/>
  <c r="J83" i="2"/>
  <c r="L83" i="2"/>
  <c r="K83" i="2"/>
  <c r="K69" i="4"/>
  <c r="L69" i="4"/>
  <c r="E69" i="4"/>
  <c r="F69" i="4" s="1"/>
  <c r="G69" i="4"/>
  <c r="I69" i="4" s="1"/>
  <c r="D84" i="2"/>
  <c r="H84" i="2" s="1"/>
  <c r="I84" i="2" s="1"/>
  <c r="C85" i="2"/>
  <c r="E83" i="2"/>
  <c r="F83" i="2" s="1"/>
  <c r="D70" i="4"/>
  <c r="H70" i="4" s="1"/>
  <c r="C71" i="4"/>
  <c r="S94" i="4"/>
  <c r="R95" i="4"/>
  <c r="T95" i="4" s="1"/>
  <c r="P96" i="2"/>
  <c r="R96" i="2" s="1"/>
  <c r="Q95" i="2"/>
  <c r="K84" i="2" l="1"/>
  <c r="J84" i="2"/>
  <c r="L84" i="2"/>
  <c r="J69" i="4"/>
  <c r="K70" i="4"/>
  <c r="L70" i="4"/>
  <c r="E70" i="4"/>
  <c r="F70" i="4" s="1"/>
  <c r="G70" i="4"/>
  <c r="I70" i="4" s="1"/>
  <c r="D85" i="2"/>
  <c r="H85" i="2" s="1"/>
  <c r="I85" i="2" s="1"/>
  <c r="C86" i="2"/>
  <c r="E84" i="2"/>
  <c r="F84" i="2" s="1"/>
  <c r="C72" i="4"/>
  <c r="D71" i="4"/>
  <c r="H71" i="4" s="1"/>
  <c r="R96" i="4"/>
  <c r="T96" i="4" s="1"/>
  <c r="S95" i="4"/>
  <c r="P97" i="2"/>
  <c r="R97" i="2" s="1"/>
  <c r="Q96" i="2"/>
  <c r="J85" i="2" l="1"/>
  <c r="K85" i="2"/>
  <c r="L85" i="2"/>
  <c r="K71" i="4"/>
  <c r="L71" i="4"/>
  <c r="J70" i="4"/>
  <c r="E71" i="4"/>
  <c r="F71" i="4" s="1"/>
  <c r="G71" i="4"/>
  <c r="I71" i="4" s="1"/>
  <c r="D86" i="2"/>
  <c r="H86" i="2" s="1"/>
  <c r="I86" i="2" s="1"/>
  <c r="C87" i="2"/>
  <c r="D87" i="2" s="1"/>
  <c r="H87" i="2" s="1"/>
  <c r="I87" i="2" s="1"/>
  <c r="E85" i="2"/>
  <c r="F85" i="2" s="1"/>
  <c r="C73" i="4"/>
  <c r="D72" i="4"/>
  <c r="H72" i="4" s="1"/>
  <c r="S96" i="4"/>
  <c r="R97" i="4"/>
  <c r="T97" i="4" s="1"/>
  <c r="P98" i="2"/>
  <c r="R98" i="2" s="1"/>
  <c r="Q97" i="2"/>
  <c r="J71" i="4" l="1"/>
  <c r="K87" i="2"/>
  <c r="J87" i="2"/>
  <c r="L87" i="2"/>
  <c r="K86" i="2"/>
  <c r="L86" i="2"/>
  <c r="J86" i="2"/>
  <c r="K72" i="4"/>
  <c r="L72" i="4"/>
  <c r="E72" i="4"/>
  <c r="F72" i="4" s="1"/>
  <c r="G72" i="4"/>
  <c r="I72" i="4" s="1"/>
  <c r="E87" i="2"/>
  <c r="F87" i="2" s="1"/>
  <c r="E86" i="2"/>
  <c r="F86" i="2" s="1"/>
  <c r="D73" i="4"/>
  <c r="H73" i="4" s="1"/>
  <c r="C74" i="4"/>
  <c r="R98" i="4"/>
  <c r="T98" i="4" s="1"/>
  <c r="S97" i="4"/>
  <c r="P99" i="2"/>
  <c r="R99" i="2" s="1"/>
  <c r="Q98" i="2"/>
  <c r="J72" i="4" l="1"/>
  <c r="K73" i="4"/>
  <c r="L73" i="4"/>
  <c r="E73" i="4"/>
  <c r="F73" i="4" s="1"/>
  <c r="G73" i="4"/>
  <c r="I73" i="4" s="1"/>
  <c r="C75" i="4"/>
  <c r="D74" i="4"/>
  <c r="H74" i="4" s="1"/>
  <c r="R99" i="4"/>
  <c r="T99" i="4" s="1"/>
  <c r="S98" i="4"/>
  <c r="P100" i="2"/>
  <c r="R100" i="2" s="1"/>
  <c r="Q99" i="2"/>
  <c r="K74" i="4" l="1"/>
  <c r="L74" i="4"/>
  <c r="E74" i="4"/>
  <c r="F74" i="4" s="1"/>
  <c r="G74" i="4"/>
  <c r="I74" i="4" s="1"/>
  <c r="J73" i="4"/>
  <c r="D75" i="4"/>
  <c r="H75" i="4" s="1"/>
  <c r="C76" i="4"/>
  <c r="R100" i="4"/>
  <c r="T100" i="4" s="1"/>
  <c r="S99" i="4"/>
  <c r="P101" i="2"/>
  <c r="R101" i="2" s="1"/>
  <c r="Q100" i="2"/>
  <c r="K75" i="4" l="1"/>
  <c r="L75" i="4"/>
  <c r="E75" i="4"/>
  <c r="F75" i="4" s="1"/>
  <c r="G75" i="4"/>
  <c r="I75" i="4" s="1"/>
  <c r="J74" i="4"/>
  <c r="C77" i="4"/>
  <c r="D76" i="4"/>
  <c r="H76" i="4" s="1"/>
  <c r="R101" i="4"/>
  <c r="T101" i="4" s="1"/>
  <c r="S100" i="4"/>
  <c r="P102" i="2"/>
  <c r="R102" i="2" s="1"/>
  <c r="Q101" i="2"/>
  <c r="K76" i="4" l="1"/>
  <c r="L76" i="4"/>
  <c r="E76" i="4"/>
  <c r="F76" i="4" s="1"/>
  <c r="G76" i="4"/>
  <c r="I76" i="4" s="1"/>
  <c r="J75" i="4"/>
  <c r="C78" i="4"/>
  <c r="D77" i="4"/>
  <c r="H77" i="4" s="1"/>
  <c r="S101" i="4"/>
  <c r="R102" i="4"/>
  <c r="T102" i="4" s="1"/>
  <c r="P103" i="2"/>
  <c r="R103" i="2" s="1"/>
  <c r="Q102" i="2"/>
  <c r="K77" i="4" l="1"/>
  <c r="L77" i="4"/>
  <c r="E77" i="4"/>
  <c r="F77" i="4" s="1"/>
  <c r="G77" i="4"/>
  <c r="I77" i="4" s="1"/>
  <c r="D78" i="4"/>
  <c r="H78" i="4" s="1"/>
  <c r="C79" i="4"/>
  <c r="J76" i="4"/>
  <c r="S102" i="4"/>
  <c r="R103" i="4"/>
  <c r="T103" i="4" s="1"/>
  <c r="P104" i="2"/>
  <c r="R104" i="2" s="1"/>
  <c r="Q103" i="2"/>
  <c r="K78" i="4" l="1"/>
  <c r="L78" i="4"/>
  <c r="E78" i="4"/>
  <c r="F78" i="4" s="1"/>
  <c r="G78" i="4"/>
  <c r="I78" i="4" s="1"/>
  <c r="J77" i="4"/>
  <c r="C80" i="4"/>
  <c r="D79" i="4"/>
  <c r="H79" i="4" s="1"/>
  <c r="R104" i="4"/>
  <c r="T104" i="4" s="1"/>
  <c r="S103" i="4"/>
  <c r="P105" i="2"/>
  <c r="R105" i="2" s="1"/>
  <c r="Q104" i="2"/>
  <c r="K79" i="4" l="1"/>
  <c r="L79" i="4"/>
  <c r="J78" i="4"/>
  <c r="E79" i="4"/>
  <c r="F79" i="4" s="1"/>
  <c r="G79" i="4"/>
  <c r="I79" i="4" s="1"/>
  <c r="D80" i="4"/>
  <c r="H80" i="4" s="1"/>
  <c r="C81" i="4"/>
  <c r="R105" i="4"/>
  <c r="T105" i="4" s="1"/>
  <c r="S104" i="4"/>
  <c r="P106" i="2"/>
  <c r="R106" i="2" s="1"/>
  <c r="Q105" i="2"/>
  <c r="K80" i="4" l="1"/>
  <c r="L80" i="4"/>
  <c r="E80" i="4"/>
  <c r="F80" i="4" s="1"/>
  <c r="G80" i="4"/>
  <c r="I80" i="4" s="1"/>
  <c r="J79" i="4"/>
  <c r="C82" i="4"/>
  <c r="D81" i="4"/>
  <c r="H81" i="4" s="1"/>
  <c r="S105" i="4"/>
  <c r="R106" i="4"/>
  <c r="T106" i="4" s="1"/>
  <c r="P107" i="2"/>
  <c r="R107" i="2" s="1"/>
  <c r="Q106" i="2"/>
  <c r="K81" i="4" l="1"/>
  <c r="L81" i="4"/>
  <c r="E81" i="4"/>
  <c r="F81" i="4" s="1"/>
  <c r="G81" i="4"/>
  <c r="I81" i="4" s="1"/>
  <c r="J80" i="4"/>
  <c r="D82" i="4"/>
  <c r="H82" i="4" s="1"/>
  <c r="C83" i="4"/>
  <c r="R107" i="4"/>
  <c r="T107" i="4" s="1"/>
  <c r="S106" i="4"/>
  <c r="P108" i="2"/>
  <c r="R108" i="2" s="1"/>
  <c r="Q107" i="2"/>
  <c r="K82" i="4" l="1"/>
  <c r="L82" i="4"/>
  <c r="E82" i="4"/>
  <c r="F82" i="4" s="1"/>
  <c r="G82" i="4"/>
  <c r="I82" i="4" s="1"/>
  <c r="J81" i="4"/>
  <c r="C84" i="4"/>
  <c r="D83" i="4"/>
  <c r="H83" i="4" s="1"/>
  <c r="R108" i="4"/>
  <c r="T108" i="4" s="1"/>
  <c r="S107" i="4"/>
  <c r="P109" i="2"/>
  <c r="R109" i="2" s="1"/>
  <c r="Q108" i="2"/>
  <c r="K83" i="4" l="1"/>
  <c r="L83" i="4"/>
  <c r="E83" i="4"/>
  <c r="F83" i="4" s="1"/>
  <c r="G83" i="4"/>
  <c r="I83" i="4" s="1"/>
  <c r="J82" i="4"/>
  <c r="C85" i="4"/>
  <c r="D84" i="4"/>
  <c r="H84" i="4" s="1"/>
  <c r="R109" i="4"/>
  <c r="T109" i="4" s="1"/>
  <c r="S108" i="4"/>
  <c r="P110" i="2"/>
  <c r="R110" i="2" s="1"/>
  <c r="Q109" i="2"/>
  <c r="K84" i="4" l="1"/>
  <c r="L84" i="4"/>
  <c r="E84" i="4"/>
  <c r="F84" i="4" s="1"/>
  <c r="G84" i="4"/>
  <c r="I84" i="4" s="1"/>
  <c r="J83" i="4"/>
  <c r="D85" i="4"/>
  <c r="H85" i="4" s="1"/>
  <c r="C86" i="4"/>
  <c r="S109" i="4"/>
  <c r="P111" i="2"/>
  <c r="R111" i="2" s="1"/>
  <c r="Q110" i="2"/>
  <c r="K85" i="4" l="1"/>
  <c r="L85" i="4"/>
  <c r="E85" i="4"/>
  <c r="F85" i="4" s="1"/>
  <c r="G85" i="4"/>
  <c r="I85" i="4" s="1"/>
  <c r="J84" i="4"/>
  <c r="D86" i="4"/>
  <c r="H86" i="4" s="1"/>
  <c r="C87" i="4"/>
  <c r="P112" i="2"/>
  <c r="R112" i="2" s="1"/>
  <c r="Q111" i="2"/>
  <c r="J85" i="4" l="1"/>
  <c r="K86" i="4"/>
  <c r="L86" i="4"/>
  <c r="E86" i="4"/>
  <c r="F86" i="4" s="1"/>
  <c r="G86" i="4"/>
  <c r="I86" i="4" s="1"/>
  <c r="C88" i="4"/>
  <c r="D87" i="4"/>
  <c r="H87" i="4" s="1"/>
  <c r="P113" i="2"/>
  <c r="R113" i="2" s="1"/>
  <c r="Q112" i="2"/>
  <c r="K87" i="4" l="1"/>
  <c r="L87" i="4"/>
  <c r="E87" i="4"/>
  <c r="F87" i="4" s="1"/>
  <c r="G87" i="4"/>
  <c r="I87" i="4" s="1"/>
  <c r="J86" i="4"/>
  <c r="D88" i="4"/>
  <c r="H88" i="4" s="1"/>
  <c r="C89" i="4"/>
  <c r="Q113" i="2"/>
  <c r="K88" i="4" l="1"/>
  <c r="L88" i="4"/>
  <c r="E88" i="4"/>
  <c r="F88" i="4" s="1"/>
  <c r="G88" i="4"/>
  <c r="I88" i="4" s="1"/>
  <c r="J87" i="4"/>
  <c r="D89" i="4"/>
  <c r="H89" i="4" s="1"/>
  <c r="C90" i="4"/>
  <c r="K89" i="4" l="1"/>
  <c r="L89" i="4"/>
  <c r="E89" i="4"/>
  <c r="F89" i="4" s="1"/>
  <c r="G89" i="4"/>
  <c r="I89" i="4" s="1"/>
  <c r="J88" i="4"/>
  <c r="C91" i="4"/>
  <c r="D91" i="4" s="1"/>
  <c r="H91" i="4" s="1"/>
  <c r="D90" i="4"/>
  <c r="H90" i="4" s="1"/>
  <c r="K91" i="4" l="1"/>
  <c r="L91" i="4"/>
  <c r="K90" i="4"/>
  <c r="L90" i="4"/>
  <c r="E91" i="4"/>
  <c r="F91" i="4" s="1"/>
  <c r="G91" i="4"/>
  <c r="I91" i="4" s="1"/>
  <c r="E90" i="4"/>
  <c r="F90" i="4" s="1"/>
  <c r="G90" i="4"/>
  <c r="I90" i="4" s="1"/>
  <c r="J89" i="4"/>
  <c r="J90" i="4" l="1"/>
  <c r="J91" i="4"/>
</calcChain>
</file>

<file path=xl/sharedStrings.xml><?xml version="1.0" encoding="utf-8"?>
<sst xmlns="http://schemas.openxmlformats.org/spreadsheetml/2006/main" count="213" uniqueCount="87">
  <si>
    <t>K</t>
  </si>
  <si>
    <t>Gdb</t>
  </si>
  <si>
    <t>t</t>
  </si>
  <si>
    <t>a</t>
  </si>
  <si>
    <t>b</t>
  </si>
  <si>
    <t>Pt</t>
  </si>
  <si>
    <t>z</t>
  </si>
  <si>
    <t>T</t>
  </si>
  <si>
    <t>X1</t>
  </si>
  <si>
    <t>Y1</t>
  </si>
  <si>
    <t>X2</t>
  </si>
  <si>
    <t>Y2</t>
  </si>
  <si>
    <t>Point 1</t>
  </si>
  <si>
    <t>Point 2</t>
  </si>
  <si>
    <t>Point 3</t>
  </si>
  <si>
    <t>Point 4</t>
  </si>
  <si>
    <t>X3</t>
  </si>
  <si>
    <t>Y3</t>
  </si>
  <si>
    <t>X4</t>
  </si>
  <si>
    <t>Y4</t>
  </si>
  <si>
    <t>G0</t>
  </si>
  <si>
    <t>ω</t>
  </si>
  <si>
    <t>ω min</t>
  </si>
  <si>
    <t>ω max</t>
  </si>
  <si>
    <t>Réel</t>
  </si>
  <si>
    <t>Suggéré</t>
  </si>
  <si>
    <t>ϕ</t>
  </si>
  <si>
    <t>e0</t>
  </si>
  <si>
    <t>s0</t>
  </si>
  <si>
    <t>|H|</t>
  </si>
  <si>
    <t>ϕ rd</t>
  </si>
  <si>
    <t>ϕ °</t>
  </si>
  <si>
    <t>log(ω)</t>
  </si>
  <si>
    <t>G=0 en ω</t>
  </si>
  <si>
    <t>ω0</t>
  </si>
  <si>
    <t>log(ω0)</t>
  </si>
  <si>
    <t>e(t)</t>
  </si>
  <si>
    <t>s(t)</t>
  </si>
  <si>
    <t>Nb Périodes</t>
  </si>
  <si>
    <t>f</t>
  </si>
  <si>
    <t>Sélectionner données d'entrée</t>
  </si>
  <si>
    <t>Delta</t>
  </si>
  <si>
    <t>T1</t>
  </si>
  <si>
    <t>T2</t>
  </si>
  <si>
    <t>p1</t>
  </si>
  <si>
    <t>p2</t>
  </si>
  <si>
    <t>Lecture diagramme asymptotique</t>
  </si>
  <si>
    <t>Calcul réel</t>
  </si>
  <si>
    <t>X5</t>
  </si>
  <si>
    <t>Y5</t>
  </si>
  <si>
    <t>X6</t>
  </si>
  <si>
    <t>Y6</t>
  </si>
  <si>
    <t>Max Phase</t>
  </si>
  <si>
    <t>Max Gain</t>
  </si>
  <si>
    <t>Trait vertical</t>
  </si>
  <si>
    <t>Départ</t>
  </si>
  <si>
    <t>Point 5</t>
  </si>
  <si>
    <t>Point 6</t>
  </si>
  <si>
    <t>Asymptotique</t>
  </si>
  <si>
    <t>Log 1/T2</t>
  </si>
  <si>
    <t>Re (A)</t>
  </si>
  <si>
    <t>Retenu</t>
  </si>
  <si>
    <t>u</t>
  </si>
  <si>
    <t>v</t>
  </si>
  <si>
    <t>w</t>
  </si>
  <si>
    <t>Facteur Min/Max</t>
  </si>
  <si>
    <t>Calculé</t>
  </si>
  <si>
    <t>1/T2</t>
  </si>
  <si>
    <t>Log(ω)</t>
  </si>
  <si>
    <t>K T</t>
  </si>
  <si>
    <t>G(ω0)</t>
  </si>
  <si>
    <t>Im (B)</t>
  </si>
  <si>
    <t>ϕ=arg(A+jB)</t>
  </si>
  <si>
    <t>ϕ=arg(A-jB)</t>
  </si>
  <si>
    <t>Re(H)</t>
  </si>
  <si>
    <t>Im(H)</t>
  </si>
  <si>
    <t>tϕ s</t>
  </si>
  <si>
    <t>Q</t>
  </si>
  <si>
    <t>Max</t>
  </si>
  <si>
    <t>ωr</t>
  </si>
  <si>
    <t>G(ω0)=G0-X</t>
  </si>
  <si>
    <t>Gr</t>
  </si>
  <si>
    <t>Hr</t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</si>
  <si>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en ωc0</t>
    </r>
  </si>
  <si>
    <r>
      <rPr>
        <sz val="11"/>
        <color theme="1"/>
        <rFont val="Calibri"/>
        <family val="2"/>
      </rPr>
      <t>Δφ</t>
    </r>
    <r>
      <rPr>
        <sz val="11"/>
        <color theme="1"/>
        <rFont val="Calibri"/>
        <family val="2"/>
        <scheme val="minor"/>
      </rPr>
      <t xml:space="preserve"> en ωc0</t>
    </r>
  </si>
  <si>
    <t>G=0 en ωc0</t>
  </si>
  <si>
    <t>K 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</si>
</sst>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&quot; s&quot;"/>
    <numFmt numFmtId="166" formatCode="#,##0.00&quot; Hz&quot;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3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2" fontId="0" fillId="0" borderId="22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6" fontId="0" fillId="0" borderId="32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6" borderId="2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2" fontId="0" fillId="3" borderId="16" xfId="0" applyNumberForma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2" fontId="0" fillId="3" borderId="21" xfId="0" applyNumberForma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2" fontId="0" fillId="0" borderId="15" xfId="0" applyNumberForma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2" fontId="0" fillId="0" borderId="17" xfId="0" applyNumberFormat="1" applyBorder="1" applyAlignment="1" applyProtection="1">
      <alignment horizontal="center" vertical="center"/>
    </xf>
    <xf numFmtId="2" fontId="0" fillId="0" borderId="12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2" fontId="0" fillId="0" borderId="20" xfId="0" applyNumberForma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2" fontId="0" fillId="4" borderId="19" xfId="0" applyNumberFormat="1" applyFill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2" fontId="0" fillId="0" borderId="38" xfId="0" applyNumberFormat="1" applyBorder="1" applyAlignment="1" applyProtection="1">
      <alignment horizontal="center" vertical="center"/>
    </xf>
    <xf numFmtId="2" fontId="0" fillId="0" borderId="45" xfId="0" applyNumberFormat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/>
    </xf>
    <xf numFmtId="0" fontId="0" fillId="7" borderId="19" xfId="0" applyFill="1" applyBorder="1" applyAlignment="1" applyProtection="1">
      <alignment horizontal="center" vertical="center"/>
    </xf>
    <xf numFmtId="0" fontId="0" fillId="7" borderId="21" xfId="0" applyFill="1" applyBorder="1" applyAlignment="1" applyProtection="1">
      <alignment horizontal="center" vertical="center"/>
    </xf>
    <xf numFmtId="2" fontId="0" fillId="4" borderId="14" xfId="0" applyNumberForma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2" fontId="0" fillId="3" borderId="29" xfId="0" applyNumberFormat="1" applyFill="1" applyBorder="1" applyAlignment="1" applyProtection="1">
      <alignment horizontal="center" vertical="center"/>
    </xf>
    <xf numFmtId="2" fontId="0" fillId="3" borderId="22" xfId="0" applyNumberForma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0" fontId="0" fillId="8" borderId="19" xfId="0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165" fontId="0" fillId="0" borderId="47" xfId="0" applyNumberFormat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</xf>
    <xf numFmtId="2" fontId="0" fillId="8" borderId="16" xfId="0" applyNumberFormat="1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/>
    </xf>
    <xf numFmtId="2" fontId="0" fillId="8" borderId="18" xfId="0" applyNumberFormat="1" applyFill="1" applyBorder="1" applyAlignment="1" applyProtection="1">
      <alignment horizontal="center" vertical="center"/>
    </xf>
    <xf numFmtId="2" fontId="0" fillId="8" borderId="21" xfId="0" applyNumberFormat="1" applyFill="1" applyBorder="1" applyAlignment="1" applyProtection="1">
      <alignment horizontal="center" vertical="center"/>
    </xf>
    <xf numFmtId="164" fontId="0" fillId="8" borderId="16" xfId="0" applyNumberFormat="1" applyFill="1" applyBorder="1" applyAlignment="1" applyProtection="1">
      <alignment horizontal="center" vertical="center"/>
    </xf>
    <xf numFmtId="164" fontId="0" fillId="8" borderId="21" xfId="0" applyNumberFormat="1" applyFill="1" applyBorder="1" applyAlignment="1" applyProtection="1">
      <alignment horizontal="center" vertical="center"/>
    </xf>
    <xf numFmtId="2" fontId="0" fillId="0" borderId="24" xfId="0" applyNumberFormat="1" applyBorder="1" applyAlignment="1" applyProtection="1">
      <alignment horizontal="center" vertical="center"/>
    </xf>
    <xf numFmtId="2" fontId="0" fillId="0" borderId="25" xfId="0" applyNumberFormat="1" applyBorder="1" applyAlignment="1" applyProtection="1">
      <alignment horizontal="center" vertical="center"/>
    </xf>
    <xf numFmtId="2" fontId="0" fillId="0" borderId="26" xfId="0" applyNumberFormat="1" applyBorder="1" applyAlignment="1" applyProtection="1">
      <alignment horizontal="center" vertical="center"/>
    </xf>
    <xf numFmtId="2" fontId="0" fillId="0" borderId="27" xfId="0" applyNumberFormat="1" applyBorder="1" applyAlignment="1" applyProtection="1">
      <alignment horizontal="center" vertical="center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2" fontId="0" fillId="0" borderId="37" xfId="0" applyNumberForma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0" fillId="8" borderId="50" xfId="0" applyFill="1" applyBorder="1" applyAlignment="1" applyProtection="1">
      <alignment horizontal="center" vertical="center"/>
    </xf>
    <xf numFmtId="0" fontId="0" fillId="8" borderId="49" xfId="0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2" fontId="0" fillId="0" borderId="53" xfId="0" applyNumberFormat="1" applyBorder="1" applyAlignment="1" applyProtection="1">
      <alignment horizontal="center" vertical="center"/>
    </xf>
    <xf numFmtId="2" fontId="0" fillId="0" borderId="54" xfId="0" applyNumberFormat="1" applyBorder="1" applyAlignment="1" applyProtection="1">
      <alignment horizontal="center" vertical="center"/>
    </xf>
    <xf numFmtId="2" fontId="0" fillId="0" borderId="49" xfId="0" applyNumberFormat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2" fontId="0" fillId="0" borderId="50" xfId="0" applyNumberForma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164" fontId="0" fillId="3" borderId="55" xfId="0" applyNumberFormat="1" applyFill="1" applyBorder="1" applyAlignment="1" applyProtection="1">
      <alignment horizontal="center" vertical="center"/>
    </xf>
    <xf numFmtId="2" fontId="0" fillId="3" borderId="56" xfId="0" applyNumberFormat="1" applyFill="1" applyBorder="1" applyAlignment="1" applyProtection="1">
      <alignment horizontal="center" vertical="center"/>
    </xf>
    <xf numFmtId="0" fontId="0" fillId="3" borderId="50" xfId="0" applyFill="1" applyBorder="1" applyAlignment="1" applyProtection="1">
      <alignment horizontal="center" vertical="center"/>
    </xf>
    <xf numFmtId="0" fontId="1" fillId="3" borderId="54" xfId="0" applyFont="1" applyFill="1" applyBorder="1" applyAlignment="1" applyProtection="1">
      <alignment horizontal="center" vertical="center"/>
    </xf>
    <xf numFmtId="0" fontId="1" fillId="3" borderId="49" xfId="0" applyFont="1" applyFill="1" applyBorder="1" applyAlignment="1" applyProtection="1">
      <alignment horizontal="center" vertical="center"/>
    </xf>
    <xf numFmtId="0" fontId="0" fillId="9" borderId="25" xfId="0" applyFill="1" applyBorder="1" applyAlignment="1" applyProtection="1">
      <alignment horizontal="center" vertical="center"/>
    </xf>
    <xf numFmtId="0" fontId="0" fillId="9" borderId="37" xfId="0" applyFill="1" applyBorder="1" applyAlignment="1" applyProtection="1">
      <alignment horizontal="center" vertical="center"/>
    </xf>
    <xf numFmtId="2" fontId="0" fillId="9" borderId="26" xfId="0" applyNumberFormat="1" applyFill="1" applyBorder="1" applyAlignment="1" applyProtection="1">
      <alignment horizontal="center" vertical="center"/>
    </xf>
    <xf numFmtId="0" fontId="0" fillId="9" borderId="13" xfId="0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2" fontId="0" fillId="0" borderId="36" xfId="0" applyNumberFormat="1" applyBorder="1" applyAlignment="1" applyProtection="1">
      <alignment horizontal="center" vertical="center"/>
    </xf>
    <xf numFmtId="2" fontId="0" fillId="0" borderId="32" xfId="0" applyNumberFormat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13" xfId="0" applyBorder="1" applyAlignment="1" applyProtection="1">
      <alignment horizontal="center" vertical="center"/>
    </xf>
    <xf numFmtId="0" fontId="0" fillId="0" borderId="57" xfId="0" applyFill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54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167" fontId="0" fillId="0" borderId="25" xfId="0" applyNumberFormat="1" applyBorder="1" applyAlignment="1" applyProtection="1">
      <alignment horizontal="center" vertical="center"/>
    </xf>
    <xf numFmtId="167" fontId="0" fillId="0" borderId="37" xfId="0" applyNumberFormat="1" applyBorder="1" applyAlignment="1" applyProtection="1">
      <alignment horizontal="center" vertical="center"/>
    </xf>
    <xf numFmtId="2" fontId="0" fillId="0" borderId="48" xfId="0" applyNumberFormat="1" applyBorder="1" applyAlignment="1" applyProtection="1">
      <alignment horizontal="center"/>
    </xf>
    <xf numFmtId="167" fontId="0" fillId="0" borderId="57" xfId="0" applyNumberFormat="1" applyBorder="1" applyAlignment="1" applyProtection="1">
      <alignment horizontal="center" vertical="center"/>
    </xf>
    <xf numFmtId="2" fontId="0" fillId="0" borderId="47" xfId="0" applyNumberFormat="1" applyBorder="1" applyAlignment="1" applyProtection="1">
      <alignment horizontal="center" vertical="center"/>
    </xf>
    <xf numFmtId="164" fontId="0" fillId="3" borderId="21" xfId="0" applyNumberForma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2" fontId="0" fillId="0" borderId="24" xfId="0" applyNumberForma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9" borderId="40" xfId="0" applyFill="1" applyBorder="1" applyAlignment="1" applyProtection="1">
      <alignment horizontal="center" vertical="center"/>
    </xf>
    <xf numFmtId="0" fontId="0" fillId="9" borderId="46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 vertical="center"/>
    </xf>
    <xf numFmtId="0" fontId="0" fillId="9" borderId="3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9" borderId="5" xfId="0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9" borderId="40" xfId="0" applyFill="1" applyBorder="1" applyAlignment="1" applyProtection="1">
      <alignment horizontal="center"/>
    </xf>
    <xf numFmtId="0" fontId="0" fillId="9" borderId="48" xfId="0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 vertical="center" wrapText="1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2" fontId="0" fillId="0" borderId="58" xfId="0" applyNumberFormat="1" applyBorder="1" applyAlignment="1" applyProtection="1">
      <alignment horizontal="center" vertical="center"/>
    </xf>
    <xf numFmtId="2" fontId="0" fillId="0" borderId="59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2" borderId="48" xfId="0" applyFill="1" applyBorder="1" applyAlignment="1" applyProtection="1">
      <alignment horizontal="center" vertical="center"/>
      <protection locked="0"/>
    </xf>
    <xf numFmtId="167" fontId="0" fillId="0" borderId="12" xfId="0" applyNumberFormat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vertical="center"/>
    </xf>
    <xf numFmtId="2" fontId="0" fillId="0" borderId="44" xfId="0" applyNumberFormat="1" applyBorder="1" applyAlignment="1" applyProtection="1">
      <alignment horizontal="center" vertical="center"/>
    </xf>
    <xf numFmtId="2" fontId="0" fillId="0" borderId="42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2" fontId="0" fillId="0" borderId="43" xfId="0" applyNumberFormat="1" applyBorder="1" applyAlignment="1" applyProtection="1">
      <alignment horizontal="center" vertical="center"/>
    </xf>
    <xf numFmtId="167" fontId="0" fillId="0" borderId="15" xfId="0" applyNumberFormat="1" applyBorder="1" applyAlignment="1" applyProtection="1">
      <alignment horizontal="center" vertical="center"/>
    </xf>
    <xf numFmtId="167" fontId="0" fillId="0" borderId="20" xfId="0" applyNumberFormat="1" applyBorder="1" applyAlignment="1" applyProtection="1">
      <alignment horizontal="center" vertical="center"/>
    </xf>
  </cellXfs>
  <cellStyles count="1">
    <cellStyle name="Normal" xfId="0" builtinId="0"/>
  </cellStyles>
  <dxfs count="13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Gain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('1° ordre'!$D$16,'1° ordre'!$F$16,'1° ordre'!$H$16)</c:f>
              <c:numCache>
                <c:formatCode>0.00</c:formatCode>
                <c:ptCount val="3"/>
                <c:pt idx="0">
                  <c:v>0.01</c:v>
                </c:pt>
                <c:pt idx="1">
                  <c:v>1</c:v>
                </c:pt>
                <c:pt idx="2">
                  <c:v>100</c:v>
                </c:pt>
              </c:numCache>
            </c:numRef>
          </c:xVal>
          <c:yVal>
            <c:numRef>
              <c:f>('1° ordre'!$D$17,'1° ordre'!$F$17,'1° ordre'!$H$17)</c:f>
              <c:numCache>
                <c:formatCode>0.00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-20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0A-4825-9879-05F8FC7D9DBC}"/>
            </c:ext>
          </c:extLst>
        </c:ser>
        <c:ser>
          <c:idx val="2"/>
          <c:order val="1"/>
          <c:tx>
            <c:v>Gain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'1° ordre'!$D$39:$D$88</c:f>
              <c:numCache>
                <c:formatCode>0.00</c:formatCode>
                <c:ptCount val="50"/>
                <c:pt idx="0">
                  <c:v>9.999999999999995E-3</c:v>
                </c:pt>
                <c:pt idx="1">
                  <c:v>1.2067926406393288E-2</c:v>
                </c:pt>
                <c:pt idx="2">
                  <c:v>1.4563484775012434E-2</c:v>
                </c:pt>
                <c:pt idx="3">
                  <c:v>1.7575106248547925E-2</c:v>
                </c:pt>
                <c:pt idx="4">
                  <c:v>2.1209508879201918E-2</c:v>
                </c:pt>
                <c:pt idx="5">
                  <c:v>2.5595479226995371E-2</c:v>
                </c:pt>
                <c:pt idx="6">
                  <c:v>3.0888435964774842E-2</c:v>
                </c:pt>
                <c:pt idx="7">
                  <c:v>3.7275937203149444E-2</c:v>
                </c:pt>
                <c:pt idx="8">
                  <c:v>4.4984326689694515E-2</c:v>
                </c:pt>
                <c:pt idx="9">
                  <c:v>5.4286754393238698E-2</c:v>
                </c:pt>
                <c:pt idx="10">
                  <c:v>6.5512855685955218E-2</c:v>
                </c:pt>
                <c:pt idx="11">
                  <c:v>7.906043210907715E-2</c:v>
                </c:pt>
                <c:pt idx="12">
                  <c:v>9.5409547634999592E-2</c:v>
                </c:pt>
                <c:pt idx="13">
                  <c:v>0.11513953993264499</c:v>
                </c:pt>
                <c:pt idx="14">
                  <c:v>0.13894954943731408</c:v>
                </c:pt>
                <c:pt idx="15">
                  <c:v>0.16768329368110119</c:v>
                </c:pt>
                <c:pt idx="16">
                  <c:v>0.20235896477251616</c:v>
                </c:pt>
                <c:pt idx="17">
                  <c:v>0.24420530945486563</c:v>
                </c:pt>
                <c:pt idx="18">
                  <c:v>0.29470517025518167</c:v>
                </c:pt>
                <c:pt idx="19">
                  <c:v>0.35564803062231365</c:v>
                </c:pt>
                <c:pt idx="20">
                  <c:v>0.42919342601287863</c:v>
                </c:pt>
                <c:pt idx="21">
                  <c:v>0.51794746792312218</c:v>
                </c:pt>
                <c:pt idx="22">
                  <c:v>0.6250551925273985</c:v>
                </c:pt>
                <c:pt idx="23">
                  <c:v>0.75431200633546325</c:v>
                </c:pt>
                <c:pt idx="24">
                  <c:v>0.91029817799152368</c:v>
                </c:pt>
                <c:pt idx="25">
                  <c:v>1.0985411419875604</c:v>
                </c:pt>
                <c:pt idx="26">
                  <c:v>1.3257113655901118</c:v>
                </c:pt>
                <c:pt idx="27">
                  <c:v>1.5998587196060614</c:v>
                </c:pt>
                <c:pt idx="28">
                  <c:v>1.9306977288832539</c:v>
                </c:pt>
                <c:pt idx="29">
                  <c:v>2.3299518105153765</c:v>
                </c:pt>
                <c:pt idx="30">
                  <c:v>2.811768697974236</c:v>
                </c:pt>
                <c:pt idx="31">
                  <c:v>3.3932217718953352</c:v>
                </c:pt>
                <c:pt idx="32">
                  <c:v>4.0949150623804327</c:v>
                </c:pt>
                <c:pt idx="33">
                  <c:v>4.9417133613238438</c:v>
                </c:pt>
                <c:pt idx="34">
                  <c:v>5.9636233165946537</c:v>
                </c:pt>
                <c:pt idx="35">
                  <c:v>7.1968567300115343</c:v>
                </c:pt>
                <c:pt idx="36">
                  <c:v>8.6851137375135412</c:v>
                </c:pt>
                <c:pt idx="37">
                  <c:v>10.481131341546877</c:v>
                </c:pt>
                <c:pt idx="38">
                  <c:v>12.648552168552987</c:v>
                </c:pt>
                <c:pt idx="39">
                  <c:v>15.264179671752366</c:v>
                </c:pt>
                <c:pt idx="40">
                  <c:v>18.42069969326721</c:v>
                </c:pt>
                <c:pt idx="41">
                  <c:v>22.229964825262009</c:v>
                </c:pt>
                <c:pt idx="42">
                  <c:v>26.826957952797333</c:v>
                </c:pt>
                <c:pt idx="43">
                  <c:v>32.374575428176534</c:v>
                </c:pt>
                <c:pt idx="44">
                  <c:v>39.069399370546307</c:v>
                </c:pt>
                <c:pt idx="45">
                  <c:v>47.148663634574106</c:v>
                </c:pt>
                <c:pt idx="46">
                  <c:v>56.898660290183201</c:v>
                </c:pt>
                <c:pt idx="47">
                  <c:v>68.664884500430276</c:v>
                </c:pt>
                <c:pt idx="48">
                  <c:v>82.864277285468802</c:v>
                </c:pt>
                <c:pt idx="49">
                  <c:v>100.00000000000004</c:v>
                </c:pt>
              </c:numCache>
            </c:numRef>
          </c:xVal>
          <c:yVal>
            <c:numRef>
              <c:f>'1° ordre'!$F$39:$F$88</c:f>
              <c:numCache>
                <c:formatCode>0.00</c:formatCode>
                <c:ptCount val="50"/>
                <c:pt idx="0">
                  <c:v>19.999565727231374</c:v>
                </c:pt>
                <c:pt idx="1">
                  <c:v>19.999367561943885</c:v>
                </c:pt>
                <c:pt idx="2">
                  <c:v>19.999078980401404</c:v>
                </c:pt>
                <c:pt idx="3">
                  <c:v>19.998658739407137</c:v>
                </c:pt>
                <c:pt idx="4">
                  <c:v>19.998046794799826</c:v>
                </c:pt>
                <c:pt idx="5">
                  <c:v>19.997155744403024</c:v>
                </c:pt>
                <c:pt idx="6">
                  <c:v>19.995858391425102</c:v>
                </c:pt>
                <c:pt idx="7">
                  <c:v>19.993969686318934</c:v>
                </c:pt>
                <c:pt idx="8">
                  <c:v>19.991220541840985</c:v>
                </c:pt>
                <c:pt idx="9">
                  <c:v>19.98721993959029</c:v>
                </c:pt>
                <c:pt idx="10">
                  <c:v>19.981400252297949</c:v>
                </c:pt>
                <c:pt idx="11">
                  <c:v>19.972938684148474</c:v>
                </c:pt>
                <c:pt idx="12">
                  <c:v>19.960645105355866</c:v>
                </c:pt>
                <c:pt idx="13">
                  <c:v>19.942803385750093</c:v>
                </c:pt>
                <c:pt idx="14">
                  <c:v>19.916950029756102</c:v>
                </c:pt>
                <c:pt idx="15">
                  <c:v>19.879571695036841</c:v>
                </c:pt>
                <c:pt idx="16">
                  <c:v>19.825704848437987</c:v>
                </c:pt>
                <c:pt idx="17">
                  <c:v>19.748431998699051</c:v>
                </c:pt>
                <c:pt idx="18">
                  <c:v>19.638299358068132</c:v>
                </c:pt>
                <c:pt idx="19">
                  <c:v>19.482743857355246</c:v>
                </c:pt>
                <c:pt idx="20">
                  <c:v>19.265723772007568</c:v>
                </c:pt>
                <c:pt idx="21">
                  <c:v>18.967884243266866</c:v>
                </c:pt>
                <c:pt idx="22">
                  <c:v>18.567684210254139</c:v>
                </c:pt>
                <c:pt idx="23">
                  <c:v>18.043807647053821</c:v>
                </c:pt>
                <c:pt idx="24">
                  <c:v>17.378711260875836</c:v>
                </c:pt>
                <c:pt idx="25">
                  <c:v>16.562384730263592</c:v>
                </c:pt>
                <c:pt idx="26">
                  <c:v>15.59482805521708</c:v>
                </c:pt>
                <c:pt idx="27">
                  <c:v>14.486051557192907</c:v>
                </c:pt>
                <c:pt idx="28">
                  <c:v>13.253598528981144</c:v>
                </c:pt>
                <c:pt idx="29">
                  <c:v>11.918784996497354</c:v>
                </c:pt>
                <c:pt idx="30">
                  <c:v>10.503152020620538</c:v>
                </c:pt>
                <c:pt idx="31">
                  <c:v>9.0260544601089308</c:v>
                </c:pt>
                <c:pt idx="32">
                  <c:v>7.5035340395153618</c:v>
                </c:pt>
                <c:pt idx="33">
                  <c:v>5.9481538280298096</c:v>
                </c:pt>
                <c:pt idx="34">
                  <c:v>4.3693676134041741</c:v>
                </c:pt>
                <c:pt idx="35">
                  <c:v>2.7740928868989423</c:v>
                </c:pt>
                <c:pt idx="36">
                  <c:v>1.1672931816684453</c:v>
                </c:pt>
                <c:pt idx="37">
                  <c:v>-0.44751815995027133</c:v>
                </c:pt>
                <c:pt idx="38">
                  <c:v>-2.0678776423821548</c:v>
                </c:pt>
                <c:pt idx="39">
                  <c:v>-3.69206913545717</c:v>
                </c:pt>
                <c:pt idx="40">
                  <c:v>-5.3189025093893241</c:v>
                </c:pt>
                <c:pt idx="41">
                  <c:v>-6.9475549683631197</c:v>
                </c:pt>
                <c:pt idx="42">
                  <c:v>-8.5774588851096603</c:v>
                </c:pt>
                <c:pt idx="43">
                  <c:v>-10.208223241227985</c:v>
                </c:pt>
                <c:pt idx="44">
                  <c:v>-11.839578949474559</c:v>
                </c:pt>
                <c:pt idx="45">
                  <c:v>-13.471340960302244</c:v>
                </c:pt>
                <c:pt idx="46">
                  <c:v>-15.103382076919431</c:v>
                </c:pt>
                <c:pt idx="47">
                  <c:v>-16.735614897149652</c:v>
                </c:pt>
                <c:pt idx="48">
                  <c:v>-18.367979376831663</c:v>
                </c:pt>
                <c:pt idx="49">
                  <c:v>-20.000434272768629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0A-4825-9879-05F8FC7D9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339472"/>
        <c:axId val="234340256"/>
      </c:scatterChart>
      <c:valAx>
        <c:axId val="2343394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340256"/>
        <c:crosses val="autoZero"/>
        <c:crossBetween val="midCat"/>
      </c:valAx>
      <c:valAx>
        <c:axId val="2343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339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Gain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('2° ordre'!$D$20,'2° ordre'!$F$20,'2° ordre'!$H$20,'2° ordre'!$J$20)</c:f>
              <c:numCache>
                <c:formatCode>0.00</c:formatCode>
                <c:ptCount val="4"/>
                <c:pt idx="0">
                  <c:v>1</c:v>
                </c:pt>
                <c:pt idx="1">
                  <c:v>100</c:v>
                </c:pt>
                <c:pt idx="2">
                  <c:v>100</c:v>
                </c:pt>
                <c:pt idx="3">
                  <c:v>10000</c:v>
                </c:pt>
              </c:numCache>
            </c:numRef>
          </c:xVal>
          <c:yVal>
            <c:numRef>
              <c:f>('2° ordre'!$D$21,'2° ordre'!$F$21,'2° ordre'!$H$21,'2° ordre'!$J$21)</c:f>
              <c:numCache>
                <c:formatCode>0.00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-40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1A-41B1-B3B0-A922C0876695}"/>
            </c:ext>
          </c:extLst>
        </c:ser>
        <c:ser>
          <c:idx val="2"/>
          <c:order val="1"/>
          <c:tx>
            <c:v>Gain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'2° ordre'!$D$43:$D$98</c:f>
              <c:numCache>
                <c:formatCode>0.00</c:formatCode>
                <c:ptCount val="56"/>
                <c:pt idx="0">
                  <c:v>1</c:v>
                </c:pt>
                <c:pt idx="1">
                  <c:v>1.2067926406393286</c:v>
                </c:pt>
                <c:pt idx="2">
                  <c:v>1.4563484775012439</c:v>
                </c:pt>
                <c:pt idx="3">
                  <c:v>1.757510624854792</c:v>
                </c:pt>
                <c:pt idx="4">
                  <c:v>2.1209508879201908</c:v>
                </c:pt>
                <c:pt idx="5">
                  <c:v>2.5595479226995357</c:v>
                </c:pt>
                <c:pt idx="6">
                  <c:v>3.088843596477481</c:v>
                </c:pt>
                <c:pt idx="7">
                  <c:v>3.7275937203149403</c:v>
                </c:pt>
                <c:pt idx="8">
                  <c:v>4.4984326689694463</c:v>
                </c:pt>
                <c:pt idx="9">
                  <c:v>5.4286754393238601</c:v>
                </c:pt>
                <c:pt idx="10">
                  <c:v>6.5512855685955085</c:v>
                </c:pt>
                <c:pt idx="11">
                  <c:v>7.9060432109076979</c:v>
                </c:pt>
                <c:pt idx="12">
                  <c:v>9.5409547634999381</c:v>
                </c:pt>
                <c:pt idx="13">
                  <c:v>11.513953993264472</c:v>
                </c:pt>
                <c:pt idx="14">
                  <c:v>13.894954943731378</c:v>
                </c:pt>
                <c:pt idx="15">
                  <c:v>16.768329368110084</c:v>
                </c:pt>
                <c:pt idx="16">
                  <c:v>20.235896477251586</c:v>
                </c:pt>
                <c:pt idx="17">
                  <c:v>24.420530945486529</c:v>
                </c:pt>
                <c:pt idx="18">
                  <c:v>29.470517025518134</c:v>
                </c:pt>
                <c:pt idx="19">
                  <c:v>35.564803062231341</c:v>
                </c:pt>
                <c:pt idx="20">
                  <c:v>42.919342601287845</c:v>
                </c:pt>
                <c:pt idx="21">
                  <c:v>51.794746792312196</c:v>
                </c:pt>
                <c:pt idx="22">
                  <c:v>62.505519252739866</c:v>
                </c:pt>
                <c:pt idx="23">
                  <c:v>75.431200633546311</c:v>
                </c:pt>
                <c:pt idx="24">
                  <c:v>91.029817799152397</c:v>
                </c:pt>
                <c:pt idx="25">
                  <c:v>109.85411419875615</c:v>
                </c:pt>
                <c:pt idx="26">
                  <c:v>132.57113655901125</c:v>
                </c:pt>
                <c:pt idx="27">
                  <c:v>159.98587196060632</c:v>
                </c:pt>
                <c:pt idx="28">
                  <c:v>193.06977288832573</c:v>
                </c:pt>
                <c:pt idx="29">
                  <c:v>232.99518105153797</c:v>
                </c:pt>
                <c:pt idx="30">
                  <c:v>281.17686979742416</c:v>
                </c:pt>
                <c:pt idx="31">
                  <c:v>339.32217718953405</c:v>
                </c:pt>
                <c:pt idx="32">
                  <c:v>409.49150623804417</c:v>
                </c:pt>
                <c:pt idx="33">
                  <c:v>494.1713361323857</c:v>
                </c:pt>
                <c:pt idx="34">
                  <c:v>596.3623316594668</c:v>
                </c:pt>
                <c:pt idx="35">
                  <c:v>719.68567300115546</c:v>
                </c:pt>
                <c:pt idx="36">
                  <c:v>868.51137375135727</c:v>
                </c:pt>
                <c:pt idx="37">
                  <c:v>1048.1131341546909</c:v>
                </c:pt>
                <c:pt idx="38">
                  <c:v>1264.8552168553031</c:v>
                </c:pt>
                <c:pt idx="39">
                  <c:v>1526.4179671752427</c:v>
                </c:pt>
                <c:pt idx="40">
                  <c:v>1842.0699693267266</c:v>
                </c:pt>
                <c:pt idx="41">
                  <c:v>2222.9964825262086</c:v>
                </c:pt>
                <c:pt idx="42">
                  <c:v>2682.6957952797443</c:v>
                </c:pt>
                <c:pt idx="43">
                  <c:v>3237.4575428176649</c:v>
                </c:pt>
                <c:pt idx="44">
                  <c:v>3906.9399370546412</c:v>
                </c:pt>
                <c:pt idx="45">
                  <c:v>4714.8663634574295</c:v>
                </c:pt>
                <c:pt idx="46">
                  <c:v>5689.8660290183379</c:v>
                </c:pt>
                <c:pt idx="47">
                  <c:v>6866.488450043048</c:v>
                </c:pt>
                <c:pt idx="48">
                  <c:v>8286.4277285469125</c:v>
                </c:pt>
                <c:pt idx="49">
                  <c:v>10000.000000000009</c:v>
                </c:pt>
              </c:numCache>
            </c:numRef>
          </c:xVal>
          <c:yVal>
            <c:numRef>
              <c:f>'2° ordre'!$F$43:$F$98</c:f>
              <c:numCache>
                <c:formatCode>0.00</c:formatCode>
                <c:ptCount val="56"/>
                <c:pt idx="0">
                  <c:v>40.000434272764281</c:v>
                </c:pt>
                <c:pt idx="1">
                  <c:v>40.0006324380427</c:v>
                </c:pt>
                <c:pt idx="2">
                  <c:v>40.000921019557161</c:v>
                </c:pt>
                <c:pt idx="3">
                  <c:v>40.001341260464883</c:v>
                </c:pt>
                <c:pt idx="4">
                  <c:v>40.001953204804835</c:v>
                </c:pt>
                <c:pt idx="5">
                  <c:v>40.002844254375844</c:v>
                </c:pt>
                <c:pt idx="6">
                  <c:v>40.004141604803003</c:v>
                </c:pt>
                <c:pt idx="7">
                  <c:v>40.006030302030268</c:v>
                </c:pt>
                <c:pt idx="8">
                  <c:v>40.008779422171514</c:v>
                </c:pt>
                <c:pt idx="9">
                  <c:v>40.012779949249961</c:v>
                </c:pt>
                <c:pt idx="10">
                  <c:v>40.018599404346972</c:v>
                </c:pt>
                <c:pt idx="11">
                  <c:v>40.027060255281469</c:v>
                </c:pt>
                <c:pt idx="12">
                  <c:v>40.039351618709951</c:v>
                </c:pt>
                <c:pt idx="13">
                  <c:v>40.057186495409553</c:v>
                </c:pt>
                <c:pt idx="14">
                  <c:v>40.083018714804723</c:v>
                </c:pt>
                <c:pt idx="15">
                  <c:v>40.120331762525652</c:v>
                </c:pt>
                <c:pt idx="16">
                  <c:v>40.173996953995356</c:v>
                </c:pt>
                <c:pt idx="17">
                  <c:v>40.250646981702346</c:v>
                </c:pt>
                <c:pt idx="18">
                  <c:v>40.358856386334892</c:v>
                </c:pt>
                <c:pt idx="19">
                  <c:v>40.508476684485743</c:v>
                </c:pt>
                <c:pt idx="20">
                  <c:v>40.707214912140905</c:v>
                </c:pt>
                <c:pt idx="21">
                  <c:v>40.949065786489236</c:v>
                </c:pt>
                <c:pt idx="22">
                  <c:v>41.180747788444911</c:v>
                </c:pt>
                <c:pt idx="23">
                  <c:v>41.221916124953744</c:v>
                </c:pt>
                <c:pt idx="24">
                  <c:v>40.665096386177964</c:v>
                </c:pt>
                <c:pt idx="25">
                  <c:v>39.032443324953462</c:v>
                </c:pt>
                <c:pt idx="26">
                  <c:v>36.32395694128023</c:v>
                </c:pt>
                <c:pt idx="27">
                  <c:v>33.0174824823224</c:v>
                </c:pt>
                <c:pt idx="28">
                  <c:v>29.520494357917734</c:v>
                </c:pt>
                <c:pt idx="29">
                  <c:v>26.013337361120435</c:v>
                </c:pt>
                <c:pt idx="30">
                  <c:v>22.549293011016278</c:v>
                </c:pt>
                <c:pt idx="31">
                  <c:v>19.134366590416462</c:v>
                </c:pt>
                <c:pt idx="32">
                  <c:v>15.760851063334933</c:v>
                </c:pt>
                <c:pt idx="33">
                  <c:v>12.418894913178946</c:v>
                </c:pt>
                <c:pt idx="34">
                  <c:v>9.0999235992602738</c:v>
                </c:pt>
                <c:pt idx="35">
                  <c:v>5.7973044290903495</c:v>
                </c:pt>
                <c:pt idx="36">
                  <c:v>2.5061660872461928</c:v>
                </c:pt>
                <c:pt idx="37">
                  <c:v>-0.77697491190238455</c:v>
                </c:pt>
                <c:pt idx="38">
                  <c:v>-4.0545723977798493</c:v>
                </c:pt>
                <c:pt idx="39">
                  <c:v>-7.328339371163338</c:v>
                </c:pt>
                <c:pt idx="40">
                  <c:v>-10.599464948709327</c:v>
                </c:pt>
                <c:pt idx="41">
                  <c:v>-13.868771598236755</c:v>
                </c:pt>
                <c:pt idx="42">
                  <c:v>-17.136826840826998</c:v>
                </c:pt>
                <c:pt idx="43">
                  <c:v>-20.404021660503233</c:v>
                </c:pt>
                <c:pt idx="44">
                  <c:v>-23.670625133379374</c:v>
                </c:pt>
                <c:pt idx="45">
                  <c:v>-26.936822305399378</c:v>
                </c:pt>
                <c:pt idx="46">
                  <c:v>-30.202740372188313</c:v>
                </c:pt>
                <c:pt idx="47">
                  <c:v>-33.468466735544993</c:v>
                </c:pt>
                <c:pt idx="48">
                  <c:v>-36.734061439508466</c:v>
                </c:pt>
                <c:pt idx="49">
                  <c:v>-39.999565727235733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1A-41B1-B3B0-A922C0876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2248"/>
        <c:axId val="236291464"/>
      </c:scatterChart>
      <c:valAx>
        <c:axId val="23629224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1464"/>
        <c:crosses val="autoZero"/>
        <c:crossBetween val="midCat"/>
      </c:valAx>
      <c:valAx>
        <c:axId val="23629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2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Nyquist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Nyquist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'2° ordre'!$K$43:$K$92</c:f>
              <c:numCache>
                <c:formatCode>0.00</c:formatCode>
                <c:ptCount val="50"/>
                <c:pt idx="0">
                  <c:v>99.999998999899987</c:v>
                </c:pt>
                <c:pt idx="1">
                  <c:v>99.999997878740217</c:v>
                </c:pt>
                <c:pt idx="2">
                  <c:v>99.999995500613224</c:v>
                </c:pt>
                <c:pt idx="3">
                  <c:v>99.999990456098189</c:v>
                </c:pt>
                <c:pt idx="4">
                  <c:v>99.999979755000538</c:v>
                </c:pt>
                <c:pt idx="5">
                  <c:v>99.999957052539727</c:v>
                </c:pt>
                <c:pt idx="6">
                  <c:v>99.999908883331145</c:v>
                </c:pt>
                <c:pt idx="7">
                  <c:v>99.999806661958047</c:v>
                </c:pt>
                <c:pt idx="8">
                  <c:v>99.999589679854395</c:v>
                </c:pt>
                <c:pt idx="9">
                  <c:v>99.999128929100621</c:v>
                </c:pt>
                <c:pt idx="10">
                  <c:v>99.998150024133722</c:v>
                </c:pt>
                <c:pt idx="11">
                  <c:v>99.996068640492055</c:v>
                </c:pt>
                <c:pt idx="12">
                  <c:v>99.991638147378268</c:v>
                </c:pt>
                <c:pt idx="13">
                  <c:v>99.982191940062322</c:v>
                </c:pt>
                <c:pt idx="14">
                  <c:v>99.962004650570933</c:v>
                </c:pt>
                <c:pt idx="15">
                  <c:v>99.918718378295964</c:v>
                </c:pt>
                <c:pt idx="16">
                  <c:v>99.825462202486563</c:v>
                </c:pt>
                <c:pt idx="17">
                  <c:v>99.623222373182699</c:v>
                </c:pt>
                <c:pt idx="18">
                  <c:v>99.180711877024237</c:v>
                </c:pt>
                <c:pt idx="19">
                  <c:v>98.201421899645922</c:v>
                </c:pt>
                <c:pt idx="20">
                  <c:v>96.006683467915096</c:v>
                </c:pt>
                <c:pt idx="21">
                  <c:v>91.045333091732161</c:v>
                </c:pt>
                <c:pt idx="22">
                  <c:v>79.966895879991341</c:v>
                </c:pt>
                <c:pt idx="23">
                  <c:v>57.1060842800172</c:v>
                </c:pt>
                <c:pt idx="24">
                  <c:v>19.971563454789926</c:v>
                </c:pt>
                <c:pt idx="25">
                  <c:v>-16.549291719421266</c:v>
                </c:pt>
                <c:pt idx="26">
                  <c:v>-32.492596899512804</c:v>
                </c:pt>
                <c:pt idx="27">
                  <c:v>-31.242585915582623</c:v>
                </c:pt>
                <c:pt idx="28">
                  <c:v>-24.424693226503067</c:v>
                </c:pt>
                <c:pt idx="29">
                  <c:v>-17.685102847090107</c:v>
                </c:pt>
                <c:pt idx="30">
                  <c:v>-12.421058079237415</c:v>
                </c:pt>
                <c:pt idx="31">
                  <c:v>-8.613957632195083</c:v>
                </c:pt>
                <c:pt idx="32">
                  <c:v>-5.9411537181900078</c:v>
                </c:pt>
                <c:pt idx="33">
                  <c:v>-4.0877678878204637</c:v>
                </c:pt>
                <c:pt idx="34">
                  <c:v>-2.8094832467779276</c:v>
                </c:pt>
                <c:pt idx="35">
                  <c:v>-1.9299641535347234</c:v>
                </c:pt>
                <c:pt idx="36">
                  <c:v>-1.32547528211551</c:v>
                </c:pt>
                <c:pt idx="37">
                  <c:v>-0.91022206019945096</c:v>
                </c:pt>
                <c:pt idx="38">
                  <c:v>-0.62503061936064908</c:v>
                </c:pt>
                <c:pt idx="39">
                  <c:v>-0.42918548603807172</c:v>
                </c:pt>
                <c:pt idx="40">
                  <c:v>-0.29470260316420072</c:v>
                </c:pt>
                <c:pt idx="41">
                  <c:v>-0.20235813445291428</c:v>
                </c:pt>
                <c:pt idx="42">
                  <c:v>-0.13894928079497368</c:v>
                </c:pt>
                <c:pt idx="43">
                  <c:v>-9.5409460700996609E-2</c:v>
                </c:pt>
                <c:pt idx="44">
                  <c:v>-6.5512827549846608E-2</c:v>
                </c:pt>
                <c:pt idx="45">
                  <c:v>-4.4984317582617082E-2</c:v>
                </c:pt>
                <c:pt idx="46">
                  <c:v>-3.0888433016812364E-2</c:v>
                </c:pt>
                <c:pt idx="47">
                  <c:v>-2.1209507924903781E-2</c:v>
                </c:pt>
                <c:pt idx="48">
                  <c:v>-1.4563484466082853E-2</c:v>
                </c:pt>
                <c:pt idx="49">
                  <c:v>-9.9999998999899826E-3</c:v>
                </c:pt>
              </c:numCache>
            </c:numRef>
          </c:xVal>
          <c:yVal>
            <c:numRef>
              <c:f>'2° ordre'!$L$43:$L$92</c:f>
              <c:numCache>
                <c:formatCode>0.00</c:formatCode>
                <c:ptCount val="50"/>
                <c:pt idx="0">
                  <c:v>-1.0000999999989999</c:v>
                </c:pt>
                <c:pt idx="1">
                  <c:v>-1.2069683916980858</c:v>
                </c:pt>
                <c:pt idx="2">
                  <c:v>-1.4566573618469938</c:v>
                </c:pt>
                <c:pt idx="3">
                  <c:v>-1.758053492346914</c:v>
                </c:pt>
                <c:pt idx="4">
                  <c:v>-2.1219049832033838</c:v>
                </c:pt>
                <c:pt idx="5">
                  <c:v>-2.5612247549161897</c:v>
                </c:pt>
                <c:pt idx="6">
                  <c:v>-3.0917906454947772</c:v>
                </c:pt>
                <c:pt idx="7">
                  <c:v>-3.7327731849802768</c:v>
                </c:pt>
                <c:pt idx="8">
                  <c:v>-4.5075356133979936</c:v>
                </c:pt>
                <c:pt idx="9">
                  <c:v>-5.4446738871608833</c:v>
                </c:pt>
                <c:pt idx="10">
                  <c:v>-6.5794027354048268</c:v>
                </c:pt>
                <c:pt idx="11">
                  <c:v>-7.9554584017557559</c:v>
                </c:pt>
                <c:pt idx="12">
                  <c:v>-9.6277986385109653</c:v>
                </c:pt>
                <c:pt idx="13">
                  <c:v>-11.666568607439347</c:v>
                </c:pt>
                <c:pt idx="14">
                  <c:v>-14.163122593295196</c:v>
                </c:pt>
                <c:pt idx="15">
                  <c:v>-17.23943277247168</c:v>
                </c:pt>
                <c:pt idx="16">
                  <c:v>-21.063092955261279</c:v>
                </c:pt>
                <c:pt idx="17">
                  <c:v>-25.871392227756058</c:v>
                </c:pt>
                <c:pt idx="18">
                  <c:v>-32.009094876085122</c:v>
                </c:pt>
                <c:pt idx="19">
                  <c:v>-39.982327906357547</c:v>
                </c:pt>
                <c:pt idx="20">
                  <c:v>-50.509672481620626</c:v>
                </c:pt>
                <c:pt idx="21">
                  <c:v>-64.445454803778588</c:v>
                </c:pt>
                <c:pt idx="22">
                  <c:v>-82.033859807258253</c:v>
                </c:pt>
                <c:pt idx="23">
                  <c:v>-99.940756591867157</c:v>
                </c:pt>
                <c:pt idx="24">
                  <c:v>-106.09460789839108</c:v>
                </c:pt>
                <c:pt idx="25">
                  <c:v>-87.914530073852916</c:v>
                </c:pt>
                <c:pt idx="26">
                  <c:v>-56.864951584644643</c:v>
                </c:pt>
                <c:pt idx="27">
                  <c:v>-32.050136307171272</c:v>
                </c:pt>
                <c:pt idx="28">
                  <c:v>-17.288755062698396</c:v>
                </c:pt>
                <c:pt idx="29">
                  <c:v>-9.3042350838920207</c:v>
                </c:pt>
                <c:pt idx="30">
                  <c:v>-5.0571856034374703</c:v>
                </c:pt>
                <c:pt idx="31">
                  <c:v>-2.7800262963365743</c:v>
                </c:pt>
                <c:pt idx="32">
                  <c:v>-1.542872379222094</c:v>
                </c:pt>
                <c:pt idx="33">
                  <c:v>-0.8625157660281717</c:v>
                </c:pt>
                <c:pt idx="34">
                  <c:v>-0.48473297440466351</c:v>
                </c:pt>
                <c:pt idx="35">
                  <c:v>-0.27344708624769681</c:v>
                </c:pt>
                <c:pt idx="36">
                  <c:v>-0.15466502600318865</c:v>
                </c:pt>
                <c:pt idx="37">
                  <c:v>-8.7641675587056572E-2</c:v>
                </c:pt>
                <c:pt idx="38">
                  <c:v>-4.9726005829530628E-2</c:v>
                </c:pt>
                <c:pt idx="39">
                  <c:v>-2.8238364011268464E-2</c:v>
                </c:pt>
                <c:pt idx="40">
                  <c:v>-1.6045735448996595E-2</c:v>
                </c:pt>
                <c:pt idx="41">
                  <c:v>-9.1214024040244743E-3</c:v>
                </c:pt>
                <c:pt idx="42">
                  <c:v>-5.186671522046854E-3</c:v>
                </c:pt>
                <c:pt idx="43">
                  <c:v>-2.949863468687738E-3</c:v>
                </c:pt>
                <c:pt idx="44">
                  <c:v>-1.6779314774811689E-3</c:v>
                </c:pt>
                <c:pt idx="45">
                  <c:v>-9.5452466968909487E-4</c:v>
                </c:pt>
                <c:pt idx="46">
                  <c:v>-5.4303522721005175E-4</c:v>
                </c:pt>
                <c:pt idx="47">
                  <c:v>-3.0894987250048005E-4</c:v>
                </c:pt>
                <c:pt idx="48">
                  <c:v>-1.7577665796415884E-4</c:v>
                </c:pt>
                <c:pt idx="49">
                  <c:v>-1.0000999999989972E-4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3B-4F6B-956E-DF836BCAD892}"/>
            </c:ext>
          </c:extLst>
        </c:ser>
        <c:ser>
          <c:idx val="1"/>
          <c:order val="1"/>
          <c:tx>
            <c:v>Départ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'2° ordre'!$K$43</c:f>
              <c:numCache>
                <c:formatCode>0.00</c:formatCode>
                <c:ptCount val="1"/>
                <c:pt idx="0">
                  <c:v>99.999998999899987</c:v>
                </c:pt>
              </c:numCache>
            </c:numRef>
          </c:xVal>
          <c:yVal>
            <c:numRef>
              <c:f>'2° ordre'!$L$43</c:f>
              <c:numCache>
                <c:formatCode>0.00</c:formatCode>
                <c:ptCount val="1"/>
                <c:pt idx="0">
                  <c:v>-1.0000999999989999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3B-4F6B-956E-DF836BCAD892}"/>
            </c:ext>
          </c:extLst>
        </c:ser>
        <c:ser>
          <c:idx val="2"/>
          <c:order val="2"/>
          <c:tx>
            <c:v>Point-Sortie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0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43B-4F6B-956E-DF836BCAD892}"/>
              </c:ext>
            </c:extLst>
          </c:dPt>
          <c:xVal>
            <c:numRef>
              <c:f>('2° ordre'!$J$37,'2° ordre'!$J$34)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99.989900010099987</c:v>
                </c:pt>
              </c:numCache>
            </c:numRef>
          </c:xVal>
          <c:yVal>
            <c:numRef>
              <c:f>('2° ordre'!$J$37,'2° ordre'!$J$36)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-10.099989900010101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3B-4F6B-956E-DF836BCA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8912"/>
        <c:axId val="236299696"/>
      </c:scatterChart>
      <c:valAx>
        <c:axId val="23629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9696"/>
        <c:crosses val="autoZero"/>
        <c:crossBetween val="midCat"/>
      </c:valAx>
      <c:valAx>
        <c:axId val="23629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Im(H)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Black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Black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'2° ordre'!$J$43:$J$92</c:f>
              <c:numCache>
                <c:formatCode>0.00</c:formatCode>
                <c:ptCount val="50"/>
                <c:pt idx="0">
                  <c:v>-0.57299599346298502</c:v>
                </c:pt>
                <c:pt idx="1">
                  <c:v>-0.69150838545452997</c:v>
                </c:pt>
                <c:pt idx="2">
                  <c:v>-0.83454420525146289</c:v>
                </c:pt>
                <c:pt idx="3">
                  <c:v>-1.0071867918735955</c:v>
                </c:pt>
                <c:pt idx="4">
                  <c:v>-1.2155798311164816</c:v>
                </c:pt>
                <c:pt idx="5">
                  <c:v>-1.4671535631476631</c:v>
                </c:pt>
                <c:pt idx="6">
                  <c:v>-1.7709030293571049</c:v>
                </c:pt>
                <c:pt idx="7">
                  <c:v>-2.1377331166086377</c:v>
                </c:pt>
                <c:pt idx="8">
                  <c:v>-2.5808912542663052</c:v>
                </c:pt>
                <c:pt idx="9">
                  <c:v>-3.1165183117727215</c:v>
                </c:pt>
                <c:pt idx="10">
                  <c:v>-3.7643640860924492</c:v>
                </c:pt>
                <c:pt idx="11">
                  <c:v>-4.54874027691198</c:v>
                </c:pt>
                <c:pt idx="12">
                  <c:v>-5.499829094659999</c:v>
                </c:pt>
                <c:pt idx="13">
                  <c:v>-6.6555442096974877</c:v>
                </c:pt>
                <c:pt idx="14">
                  <c:v>-8.064279270427992</c:v>
                </c:pt>
                <c:pt idx="15">
                  <c:v>-9.7891269449287819</c:v>
                </c:pt>
                <c:pt idx="16">
                  <c:v>-11.914600104720899</c:v>
                </c:pt>
                <c:pt idx="17">
                  <c:v>-14.557705935342529</c:v>
                </c:pt>
                <c:pt idx="18">
                  <c:v>-17.886710669149341</c:v>
                </c:pt>
                <c:pt idx="19">
                  <c:v>-22.153505103304312</c:v>
                </c:pt>
                <c:pt idx="20">
                  <c:v>-27.749117899673742</c:v>
                </c:pt>
                <c:pt idx="21">
                  <c:v>-35.29235597024627</c:v>
                </c:pt>
                <c:pt idx="22">
                  <c:v>-45.730995872146046</c:v>
                </c:pt>
                <c:pt idx="23">
                  <c:v>-60.256380457081995</c:v>
                </c:pt>
                <c:pt idx="24">
                  <c:v>-79.339227292442047</c:v>
                </c:pt>
                <c:pt idx="25">
                  <c:v>-100.66077270755855</c:v>
                </c:pt>
                <c:pt idx="26">
                  <c:v>-119.74361954291842</c:v>
                </c:pt>
                <c:pt idx="27">
                  <c:v>-134.26900412785432</c:v>
                </c:pt>
                <c:pt idx="28">
                  <c:v>-144.70764402975396</c:v>
                </c:pt>
                <c:pt idx="29">
                  <c:v>-152.25088210032644</c:v>
                </c:pt>
                <c:pt idx="30">
                  <c:v>-157.84649489669579</c:v>
                </c:pt>
                <c:pt idx="31">
                  <c:v>-162.11328933085076</c:v>
                </c:pt>
                <c:pt idx="32">
                  <c:v>-165.44229406465757</c:v>
                </c:pt>
                <c:pt idx="33">
                  <c:v>-168.08539989527921</c:v>
                </c:pt>
                <c:pt idx="34">
                  <c:v>-170.21087305507135</c:v>
                </c:pt>
                <c:pt idx="35">
                  <c:v>-171.93572072957204</c:v>
                </c:pt>
                <c:pt idx="36">
                  <c:v>-173.34445579030259</c:v>
                </c:pt>
                <c:pt idx="37">
                  <c:v>-174.50017090533996</c:v>
                </c:pt>
                <c:pt idx="38">
                  <c:v>-175.4512597230881</c:v>
                </c:pt>
                <c:pt idx="39">
                  <c:v>-176.23563591390746</c:v>
                </c:pt>
                <c:pt idx="40">
                  <c:v>-176.88348168822714</c:v>
                </c:pt>
                <c:pt idx="41">
                  <c:v>-177.41910874573355</c:v>
                </c:pt>
                <c:pt idx="42">
                  <c:v>-177.86226688339153</c:v>
                </c:pt>
                <c:pt idx="43">
                  <c:v>-178.22909697064287</c:v>
                </c:pt>
                <c:pt idx="44">
                  <c:v>-178.53284643685231</c:v>
                </c:pt>
                <c:pt idx="45">
                  <c:v>-178.78442016888383</c:v>
                </c:pt>
                <c:pt idx="46">
                  <c:v>-178.99281320812534</c:v>
                </c:pt>
                <c:pt idx="47">
                  <c:v>-179.16545579474896</c:v>
                </c:pt>
                <c:pt idx="48">
                  <c:v>-179.30849161454546</c:v>
                </c:pt>
                <c:pt idx="49">
                  <c:v>-179.42700400653638</c:v>
                </c:pt>
              </c:numCache>
            </c:numRef>
          </c:xVal>
          <c:yVal>
            <c:numRef>
              <c:f>'2° ordre'!$F$43:$F$92</c:f>
              <c:numCache>
                <c:formatCode>0.00</c:formatCode>
                <c:ptCount val="50"/>
                <c:pt idx="0">
                  <c:v>40.000434272764281</c:v>
                </c:pt>
                <c:pt idx="1">
                  <c:v>40.0006324380427</c:v>
                </c:pt>
                <c:pt idx="2">
                  <c:v>40.000921019557161</c:v>
                </c:pt>
                <c:pt idx="3">
                  <c:v>40.001341260464883</c:v>
                </c:pt>
                <c:pt idx="4">
                  <c:v>40.001953204804835</c:v>
                </c:pt>
                <c:pt idx="5">
                  <c:v>40.002844254375844</c:v>
                </c:pt>
                <c:pt idx="6">
                  <c:v>40.004141604803003</c:v>
                </c:pt>
                <c:pt idx="7">
                  <c:v>40.006030302030268</c:v>
                </c:pt>
                <c:pt idx="8">
                  <c:v>40.008779422171514</c:v>
                </c:pt>
                <c:pt idx="9">
                  <c:v>40.012779949249961</c:v>
                </c:pt>
                <c:pt idx="10">
                  <c:v>40.018599404346972</c:v>
                </c:pt>
                <c:pt idx="11">
                  <c:v>40.027060255281469</c:v>
                </c:pt>
                <c:pt idx="12">
                  <c:v>40.039351618709951</c:v>
                </c:pt>
                <c:pt idx="13">
                  <c:v>40.057186495409553</c:v>
                </c:pt>
                <c:pt idx="14">
                  <c:v>40.083018714804723</c:v>
                </c:pt>
                <c:pt idx="15">
                  <c:v>40.120331762525652</c:v>
                </c:pt>
                <c:pt idx="16">
                  <c:v>40.173996953995356</c:v>
                </c:pt>
                <c:pt idx="17">
                  <c:v>40.250646981702346</c:v>
                </c:pt>
                <c:pt idx="18">
                  <c:v>40.358856386334892</c:v>
                </c:pt>
                <c:pt idx="19">
                  <c:v>40.508476684485743</c:v>
                </c:pt>
                <c:pt idx="20">
                  <c:v>40.707214912140905</c:v>
                </c:pt>
                <c:pt idx="21">
                  <c:v>40.949065786489236</c:v>
                </c:pt>
                <c:pt idx="22">
                  <c:v>41.180747788444911</c:v>
                </c:pt>
                <c:pt idx="23">
                  <c:v>41.221916124953744</c:v>
                </c:pt>
                <c:pt idx="24">
                  <c:v>40.665096386177964</c:v>
                </c:pt>
                <c:pt idx="25">
                  <c:v>39.032443324953462</c:v>
                </c:pt>
                <c:pt idx="26">
                  <c:v>36.32395694128023</c:v>
                </c:pt>
                <c:pt idx="27">
                  <c:v>33.0174824823224</c:v>
                </c:pt>
                <c:pt idx="28">
                  <c:v>29.520494357917734</c:v>
                </c:pt>
                <c:pt idx="29">
                  <c:v>26.013337361120435</c:v>
                </c:pt>
                <c:pt idx="30">
                  <c:v>22.549293011016278</c:v>
                </c:pt>
                <c:pt idx="31">
                  <c:v>19.134366590416462</c:v>
                </c:pt>
                <c:pt idx="32">
                  <c:v>15.760851063334933</c:v>
                </c:pt>
                <c:pt idx="33">
                  <c:v>12.418894913178946</c:v>
                </c:pt>
                <c:pt idx="34">
                  <c:v>9.0999235992602738</c:v>
                </c:pt>
                <c:pt idx="35">
                  <c:v>5.7973044290903495</c:v>
                </c:pt>
                <c:pt idx="36">
                  <c:v>2.5061660872461928</c:v>
                </c:pt>
                <c:pt idx="37">
                  <c:v>-0.77697491190238455</c:v>
                </c:pt>
                <c:pt idx="38">
                  <c:v>-4.0545723977798493</c:v>
                </c:pt>
                <c:pt idx="39">
                  <c:v>-7.328339371163338</c:v>
                </c:pt>
                <c:pt idx="40">
                  <c:v>-10.599464948709327</c:v>
                </c:pt>
                <c:pt idx="41">
                  <c:v>-13.868771598236755</c:v>
                </c:pt>
                <c:pt idx="42">
                  <c:v>-17.136826840826998</c:v>
                </c:pt>
                <c:pt idx="43">
                  <c:v>-20.404021660503233</c:v>
                </c:pt>
                <c:pt idx="44">
                  <c:v>-23.670625133379374</c:v>
                </c:pt>
                <c:pt idx="45">
                  <c:v>-26.936822305399378</c:v>
                </c:pt>
                <c:pt idx="46">
                  <c:v>-30.202740372188313</c:v>
                </c:pt>
                <c:pt idx="47">
                  <c:v>-33.468466735544993</c:v>
                </c:pt>
                <c:pt idx="48">
                  <c:v>-36.734061439508466</c:v>
                </c:pt>
                <c:pt idx="49">
                  <c:v>-39.999565727235733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0-4B6E-8783-FFE089184064}"/>
            </c:ext>
          </c:extLst>
        </c:ser>
        <c:ser>
          <c:idx val="1"/>
          <c:order val="1"/>
          <c:tx>
            <c:v>Départ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'2° ordre'!$J$43</c:f>
              <c:numCache>
                <c:formatCode>0.00</c:formatCode>
                <c:ptCount val="1"/>
                <c:pt idx="0">
                  <c:v>-0.57299599346298502</c:v>
                </c:pt>
              </c:numCache>
            </c:numRef>
          </c:xVal>
          <c:yVal>
            <c:numRef>
              <c:f>'2° ordre'!$F$43</c:f>
              <c:numCache>
                <c:formatCode>0.00</c:formatCode>
                <c:ptCount val="1"/>
                <c:pt idx="0">
                  <c:v>40.000434272764281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B0-4B6E-8783-FFE089184064}"/>
            </c:ext>
          </c:extLst>
        </c:ser>
        <c:ser>
          <c:idx val="2"/>
          <c:order val="2"/>
          <c:tx>
            <c:v>Point-Sortie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'2° ordre'!$L$34</c:f>
              <c:numCache>
                <c:formatCode>0.00</c:formatCode>
                <c:ptCount val="1"/>
                <c:pt idx="0">
                  <c:v>-5.7678888979141014</c:v>
                </c:pt>
              </c:numCache>
            </c:numRef>
          </c:xVal>
          <c:yVal>
            <c:numRef>
              <c:f>'2° ordre'!$I$36</c:f>
              <c:numCache>
                <c:formatCode>0.00</c:formatCode>
                <c:ptCount val="1"/>
                <c:pt idx="0">
                  <c:v>40.043209394883775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B0-4B6E-8783-FFE089184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89112"/>
        <c:axId val="236300480"/>
      </c:scatterChart>
      <c:valAx>
        <c:axId val="236289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300480"/>
        <c:crosses val="autoZero"/>
        <c:crossBetween val="midCat"/>
      </c:valAx>
      <c:valAx>
        <c:axId val="2363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G</a:t>
                </a:r>
                <a:r>
                  <a:rPr lang="fr-FR" baseline="-25000"/>
                  <a:t>db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89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Résonnance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'2° ordre'!$W$60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ordre'!$V$61:$V$68</c:f>
              <c:numCache>
                <c:formatCode>General</c:formatCode>
                <c:ptCount val="8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</c:numCache>
            </c:numRef>
          </c:xVal>
          <c:yVal>
            <c:numRef>
              <c:f>'2° ordre'!$W$61:$W$68</c:f>
              <c:numCache>
                <c:formatCode>0.00</c:formatCode>
                <c:ptCount val="8"/>
                <c:pt idx="0">
                  <c:v>1001.2523486435177</c:v>
                </c:pt>
                <c:pt idx="1">
                  <c:v>502.51890762960602</c:v>
                </c:pt>
                <c:pt idx="2">
                  <c:v>255.15518153991437</c:v>
                </c:pt>
                <c:pt idx="3">
                  <c:v>174.71413945365305</c:v>
                </c:pt>
                <c:pt idx="4">
                  <c:v>136.38618139749525</c:v>
                </c:pt>
                <c:pt idx="5">
                  <c:v>115.47005383792516</c:v>
                </c:pt>
                <c:pt idx="6">
                  <c:v>104.16666666666667</c:v>
                </c:pt>
                <c:pt idx="7">
                  <c:v>100.02000600200071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4-4569-B7BF-8D23B353A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0680"/>
        <c:axId val="236295776"/>
      </c:scatterChart>
      <c:valAx>
        <c:axId val="23629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5776"/>
        <c:crosses val="autoZero"/>
        <c:crossBetween val="midCat"/>
      </c:valAx>
      <c:valAx>
        <c:axId val="23629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0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Surtension 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'2° ordre'!$X$60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ordre'!$V$61:$V$68</c:f>
              <c:numCache>
                <c:formatCode>General</c:formatCode>
                <c:ptCount val="8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</c:numCache>
            </c:numRef>
          </c:xVal>
          <c:yVal>
            <c:numRef>
              <c:f>'2° ordre'!$X$61:$X$68</c:f>
              <c:numCache>
                <c:formatCode>0.00</c:formatCode>
                <c:ptCount val="8"/>
                <c:pt idx="0">
                  <c:v>10.012523486435178</c:v>
                </c:pt>
                <c:pt idx="1">
                  <c:v>5.0251890762960603</c:v>
                </c:pt>
                <c:pt idx="2">
                  <c:v>2.5515518153991437</c:v>
                </c:pt>
                <c:pt idx="3">
                  <c:v>1.7471413945365304</c:v>
                </c:pt>
                <c:pt idx="4">
                  <c:v>1.3638618139749525</c:v>
                </c:pt>
                <c:pt idx="5">
                  <c:v>1.1547005383792517</c:v>
                </c:pt>
                <c:pt idx="6">
                  <c:v>1.0416666666666667</c:v>
                </c:pt>
                <c:pt idx="7">
                  <c:v>1.0002000600200072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9B-469D-AA6C-53D09DF20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1072"/>
        <c:axId val="236291856"/>
      </c:scatterChart>
      <c:valAx>
        <c:axId val="23629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1856"/>
        <c:crosses val="autoZero"/>
        <c:crossBetween val="midCat"/>
      </c:valAx>
      <c:valAx>
        <c:axId val="2362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Gain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('2° ordre'!$D$20,'2° ordre'!$F$20,'2° ordre'!$H$20,'2° ordre'!$J$20)</c:f>
              <c:numCache>
                <c:formatCode>0.00</c:formatCode>
                <c:ptCount val="4"/>
                <c:pt idx="0">
                  <c:v>1</c:v>
                </c:pt>
                <c:pt idx="1">
                  <c:v>100</c:v>
                </c:pt>
                <c:pt idx="2">
                  <c:v>100</c:v>
                </c:pt>
                <c:pt idx="3">
                  <c:v>10000</c:v>
                </c:pt>
              </c:numCache>
            </c:numRef>
          </c:xVal>
          <c:yVal>
            <c:numRef>
              <c:f>('2° ordre'!$D$21,'2° ordre'!$F$21,'2° ordre'!$H$21,'2° ordre'!$J$21)</c:f>
              <c:numCache>
                <c:formatCode>0.00</c:formatCode>
                <c:ptCount val="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-40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AD-438D-93A7-DE7231CD76A0}"/>
            </c:ext>
          </c:extLst>
        </c:ser>
        <c:ser>
          <c:idx val="2"/>
          <c:order val="1"/>
          <c:tx>
            <c:v>Gain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'2° ordre'!$D$43:$D$98</c:f>
              <c:numCache>
                <c:formatCode>0.00</c:formatCode>
                <c:ptCount val="56"/>
                <c:pt idx="0">
                  <c:v>1</c:v>
                </c:pt>
                <c:pt idx="1">
                  <c:v>1.2067926406393286</c:v>
                </c:pt>
                <c:pt idx="2">
                  <c:v>1.4563484775012439</c:v>
                </c:pt>
                <c:pt idx="3">
                  <c:v>1.757510624854792</c:v>
                </c:pt>
                <c:pt idx="4">
                  <c:v>2.1209508879201908</c:v>
                </c:pt>
                <c:pt idx="5">
                  <c:v>2.5595479226995357</c:v>
                </c:pt>
                <c:pt idx="6">
                  <c:v>3.088843596477481</c:v>
                </c:pt>
                <c:pt idx="7">
                  <c:v>3.7275937203149403</c:v>
                </c:pt>
                <c:pt idx="8">
                  <c:v>4.4984326689694463</c:v>
                </c:pt>
                <c:pt idx="9">
                  <c:v>5.4286754393238601</c:v>
                </c:pt>
                <c:pt idx="10">
                  <c:v>6.5512855685955085</c:v>
                </c:pt>
                <c:pt idx="11">
                  <c:v>7.9060432109076979</c:v>
                </c:pt>
                <c:pt idx="12">
                  <c:v>9.5409547634999381</c:v>
                </c:pt>
                <c:pt idx="13">
                  <c:v>11.513953993264472</c:v>
                </c:pt>
                <c:pt idx="14">
                  <c:v>13.894954943731378</c:v>
                </c:pt>
                <c:pt idx="15">
                  <c:v>16.768329368110084</c:v>
                </c:pt>
                <c:pt idx="16">
                  <c:v>20.235896477251586</c:v>
                </c:pt>
                <c:pt idx="17">
                  <c:v>24.420530945486529</c:v>
                </c:pt>
                <c:pt idx="18">
                  <c:v>29.470517025518134</c:v>
                </c:pt>
                <c:pt idx="19">
                  <c:v>35.564803062231341</c:v>
                </c:pt>
                <c:pt idx="20">
                  <c:v>42.919342601287845</c:v>
                </c:pt>
                <c:pt idx="21">
                  <c:v>51.794746792312196</c:v>
                </c:pt>
                <c:pt idx="22">
                  <c:v>62.505519252739866</c:v>
                </c:pt>
                <c:pt idx="23">
                  <c:v>75.431200633546311</c:v>
                </c:pt>
                <c:pt idx="24">
                  <c:v>91.029817799152397</c:v>
                </c:pt>
                <c:pt idx="25">
                  <c:v>109.85411419875615</c:v>
                </c:pt>
                <c:pt idx="26">
                  <c:v>132.57113655901125</c:v>
                </c:pt>
                <c:pt idx="27">
                  <c:v>159.98587196060632</c:v>
                </c:pt>
                <c:pt idx="28">
                  <c:v>193.06977288832573</c:v>
                </c:pt>
                <c:pt idx="29">
                  <c:v>232.99518105153797</c:v>
                </c:pt>
                <c:pt idx="30">
                  <c:v>281.17686979742416</c:v>
                </c:pt>
                <c:pt idx="31">
                  <c:v>339.32217718953405</c:v>
                </c:pt>
                <c:pt idx="32">
                  <c:v>409.49150623804417</c:v>
                </c:pt>
                <c:pt idx="33">
                  <c:v>494.1713361323857</c:v>
                </c:pt>
                <c:pt idx="34">
                  <c:v>596.3623316594668</c:v>
                </c:pt>
                <c:pt idx="35">
                  <c:v>719.68567300115546</c:v>
                </c:pt>
                <c:pt idx="36">
                  <c:v>868.51137375135727</c:v>
                </c:pt>
                <c:pt idx="37">
                  <c:v>1048.1131341546909</c:v>
                </c:pt>
                <c:pt idx="38">
                  <c:v>1264.8552168553031</c:v>
                </c:pt>
                <c:pt idx="39">
                  <c:v>1526.4179671752427</c:v>
                </c:pt>
                <c:pt idx="40">
                  <c:v>1842.0699693267266</c:v>
                </c:pt>
                <c:pt idx="41">
                  <c:v>2222.9964825262086</c:v>
                </c:pt>
                <c:pt idx="42">
                  <c:v>2682.6957952797443</c:v>
                </c:pt>
                <c:pt idx="43">
                  <c:v>3237.4575428176649</c:v>
                </c:pt>
                <c:pt idx="44">
                  <c:v>3906.9399370546412</c:v>
                </c:pt>
                <c:pt idx="45">
                  <c:v>4714.8663634574295</c:v>
                </c:pt>
                <c:pt idx="46">
                  <c:v>5689.8660290183379</c:v>
                </c:pt>
                <c:pt idx="47">
                  <c:v>6866.488450043048</c:v>
                </c:pt>
                <c:pt idx="48">
                  <c:v>8286.4277285469125</c:v>
                </c:pt>
                <c:pt idx="49">
                  <c:v>10000.000000000009</c:v>
                </c:pt>
              </c:numCache>
            </c:numRef>
          </c:xVal>
          <c:yVal>
            <c:numRef>
              <c:f>'2° ordre'!$F$43:$F$98</c:f>
              <c:numCache>
                <c:formatCode>0.00</c:formatCode>
                <c:ptCount val="56"/>
                <c:pt idx="0">
                  <c:v>40.000434272764281</c:v>
                </c:pt>
                <c:pt idx="1">
                  <c:v>40.0006324380427</c:v>
                </c:pt>
                <c:pt idx="2">
                  <c:v>40.000921019557161</c:v>
                </c:pt>
                <c:pt idx="3">
                  <c:v>40.001341260464883</c:v>
                </c:pt>
                <c:pt idx="4">
                  <c:v>40.001953204804835</c:v>
                </c:pt>
                <c:pt idx="5">
                  <c:v>40.002844254375844</c:v>
                </c:pt>
                <c:pt idx="6">
                  <c:v>40.004141604803003</c:v>
                </c:pt>
                <c:pt idx="7">
                  <c:v>40.006030302030268</c:v>
                </c:pt>
                <c:pt idx="8">
                  <c:v>40.008779422171514</c:v>
                </c:pt>
                <c:pt idx="9">
                  <c:v>40.012779949249961</c:v>
                </c:pt>
                <c:pt idx="10">
                  <c:v>40.018599404346972</c:v>
                </c:pt>
                <c:pt idx="11">
                  <c:v>40.027060255281469</c:v>
                </c:pt>
                <c:pt idx="12">
                  <c:v>40.039351618709951</c:v>
                </c:pt>
                <c:pt idx="13">
                  <c:v>40.057186495409553</c:v>
                </c:pt>
                <c:pt idx="14">
                  <c:v>40.083018714804723</c:v>
                </c:pt>
                <c:pt idx="15">
                  <c:v>40.120331762525652</c:v>
                </c:pt>
                <c:pt idx="16">
                  <c:v>40.173996953995356</c:v>
                </c:pt>
                <c:pt idx="17">
                  <c:v>40.250646981702346</c:v>
                </c:pt>
                <c:pt idx="18">
                  <c:v>40.358856386334892</c:v>
                </c:pt>
                <c:pt idx="19">
                  <c:v>40.508476684485743</c:v>
                </c:pt>
                <c:pt idx="20">
                  <c:v>40.707214912140905</c:v>
                </c:pt>
                <c:pt idx="21">
                  <c:v>40.949065786489236</c:v>
                </c:pt>
                <c:pt idx="22">
                  <c:v>41.180747788444911</c:v>
                </c:pt>
                <c:pt idx="23">
                  <c:v>41.221916124953744</c:v>
                </c:pt>
                <c:pt idx="24">
                  <c:v>40.665096386177964</c:v>
                </c:pt>
                <c:pt idx="25">
                  <c:v>39.032443324953462</c:v>
                </c:pt>
                <c:pt idx="26">
                  <c:v>36.32395694128023</c:v>
                </c:pt>
                <c:pt idx="27">
                  <c:v>33.0174824823224</c:v>
                </c:pt>
                <c:pt idx="28">
                  <c:v>29.520494357917734</c:v>
                </c:pt>
                <c:pt idx="29">
                  <c:v>26.013337361120435</c:v>
                </c:pt>
                <c:pt idx="30">
                  <c:v>22.549293011016278</c:v>
                </c:pt>
                <c:pt idx="31">
                  <c:v>19.134366590416462</c:v>
                </c:pt>
                <c:pt idx="32">
                  <c:v>15.760851063334933</c:v>
                </c:pt>
                <c:pt idx="33">
                  <c:v>12.418894913178946</c:v>
                </c:pt>
                <c:pt idx="34">
                  <c:v>9.0999235992602738</c:v>
                </c:pt>
                <c:pt idx="35">
                  <c:v>5.7973044290903495</c:v>
                </c:pt>
                <c:pt idx="36">
                  <c:v>2.5061660872461928</c:v>
                </c:pt>
                <c:pt idx="37">
                  <c:v>-0.77697491190238455</c:v>
                </c:pt>
                <c:pt idx="38">
                  <c:v>-4.0545723977798493</c:v>
                </c:pt>
                <c:pt idx="39">
                  <c:v>-7.328339371163338</c:v>
                </c:pt>
                <c:pt idx="40">
                  <c:v>-10.599464948709327</c:v>
                </c:pt>
                <c:pt idx="41">
                  <c:v>-13.868771598236755</c:v>
                </c:pt>
                <c:pt idx="42">
                  <c:v>-17.136826840826998</c:v>
                </c:pt>
                <c:pt idx="43">
                  <c:v>-20.404021660503233</c:v>
                </c:pt>
                <c:pt idx="44">
                  <c:v>-23.670625133379374</c:v>
                </c:pt>
                <c:pt idx="45">
                  <c:v>-26.936822305399378</c:v>
                </c:pt>
                <c:pt idx="46">
                  <c:v>-30.202740372188313</c:v>
                </c:pt>
                <c:pt idx="47">
                  <c:v>-33.468466735544993</c:v>
                </c:pt>
                <c:pt idx="48">
                  <c:v>-36.734061439508466</c:v>
                </c:pt>
                <c:pt idx="49">
                  <c:v>-39.999565727235733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AD-438D-93A7-DE7231CD76A0}"/>
            </c:ext>
          </c:extLst>
        </c:ser>
        <c:ser>
          <c:idx val="6"/>
          <c:order val="2"/>
          <c:tx>
            <c:v>Point asymptotique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rgbClr val="00B050"/>
                </a:solidFill>
              </a:ln>
              <a:effectLst/>
            </c:spPr>
          </c:marker>
          <c:xVal>
            <c:numRef>
              <c:f>'2° ordre'!$C$28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'2° ordre'!$C$34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AD-438D-93A7-DE7231CD76A0}"/>
            </c:ext>
          </c:extLst>
        </c:ser>
        <c:ser>
          <c:idx val="3"/>
          <c:order val="3"/>
          <c:tx>
            <c:v>Point réel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38100">
                <a:solidFill>
                  <a:schemeClr val="accent4"/>
                </a:solidFill>
              </a:ln>
              <a:effectLst/>
            </c:spPr>
          </c:marker>
          <c:xVal>
            <c:numRef>
              <c:f>'2° ordre'!$C$28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'2° ordre'!$I$36</c:f>
              <c:numCache>
                <c:formatCode>0.00</c:formatCode>
                <c:ptCount val="1"/>
                <c:pt idx="0">
                  <c:v>40.043209394883775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AD-438D-93A7-DE7231CD76A0}"/>
            </c:ext>
          </c:extLst>
        </c:ser>
        <c:ser>
          <c:idx val="4"/>
          <c:order val="4"/>
          <c:tx>
            <c:v>Horizontal asymptotique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('2° ordre'!$N$5,'2° ordre'!$C$28)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10</c:v>
                </c:pt>
              </c:numCache>
            </c:numRef>
          </c:xVal>
          <c:yVal>
            <c:numRef>
              <c:f>('2° ordre'!$C$34,'2° ordre'!$C$34)</c:f>
              <c:numCache>
                <c:formatCode>0.00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AD-438D-93A7-DE7231CD76A0}"/>
            </c:ext>
          </c:extLst>
        </c:ser>
        <c:ser>
          <c:idx val="5"/>
          <c:order val="5"/>
          <c:tx>
            <c:v>Horizontal réel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('2° ordre'!$N$5,'2° ordre'!$C$28)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10</c:v>
                </c:pt>
              </c:numCache>
            </c:numRef>
          </c:xVal>
          <c:yVal>
            <c:numRef>
              <c:f>('2° ordre'!$I$36,'2° ordre'!$I$36)</c:f>
              <c:numCache>
                <c:formatCode>0.00</c:formatCode>
                <c:ptCount val="2"/>
                <c:pt idx="0">
                  <c:v>40.043209394883775</c:v>
                </c:pt>
                <c:pt idx="1">
                  <c:v>40.043209394883775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AD-438D-93A7-DE7231CD76A0}"/>
            </c:ext>
          </c:extLst>
        </c:ser>
        <c:ser>
          <c:idx val="1"/>
          <c:order val="6"/>
          <c:tx>
            <c:v>Vertical</c:v>
          </c:tx>
          <c:spPr>
            <a:ln w="317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6AD-438D-93A7-DE7231CD76A0}"/>
              </c:ext>
            </c:extLst>
          </c:dPt>
          <c:xVal>
            <c:numRef>
              <c:f>('2° ordre'!$C$28,'2° ordre'!$C$28)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('2° ordre'!$C$38,'2° ordre'!$C$40)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40.043209394883775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6AD-438D-93A7-DE7231CD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850080"/>
        <c:axId val="605851256"/>
      </c:scatterChart>
      <c:valAx>
        <c:axId val="60585008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851256"/>
        <c:crosses val="autoZero"/>
        <c:crossBetween val="midCat"/>
      </c:valAx>
      <c:valAx>
        <c:axId val="605851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85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Phase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('2° ordre'!$D$22,'2° ordre'!$F$22,'2° ordre'!$H$22,'2° ordre'!$J$22,'2° ordre'!$L$22,'2° ordre'!$N$22)</c:f>
              <c:numCache>
                <c:formatCode>0.00</c:formatCode>
                <c:ptCount val="6"/>
                <c:pt idx="0">
                  <c:v>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10000</c:v>
                </c:pt>
              </c:numCache>
            </c:numRef>
          </c:xVal>
          <c:yVal>
            <c:numRef>
              <c:f>('2° ordre'!$D$23,'2° ordre'!$F$23,'2° ordre'!$H$23,'2° ordre'!$J$23,'2° ordre'!$L$23,'2° ordre'!$N$23)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-90</c:v>
                </c:pt>
                <c:pt idx="3">
                  <c:v>-90</c:v>
                </c:pt>
                <c:pt idx="4">
                  <c:v>-180</c:v>
                </c:pt>
                <c:pt idx="5">
                  <c:v>-180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39-4116-A1A9-FD382E6A0312}"/>
            </c:ext>
          </c:extLst>
        </c:ser>
        <c:ser>
          <c:idx val="1"/>
          <c:order val="1"/>
          <c:tx>
            <c:v>Phase Réelle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ordre'!$D$43:$D$98</c:f>
              <c:numCache>
                <c:formatCode>0.00</c:formatCode>
                <c:ptCount val="56"/>
                <c:pt idx="0">
                  <c:v>1</c:v>
                </c:pt>
                <c:pt idx="1">
                  <c:v>1.2067926406393286</c:v>
                </c:pt>
                <c:pt idx="2">
                  <c:v>1.4563484775012439</c:v>
                </c:pt>
                <c:pt idx="3">
                  <c:v>1.757510624854792</c:v>
                </c:pt>
                <c:pt idx="4">
                  <c:v>2.1209508879201908</c:v>
                </c:pt>
                <c:pt idx="5">
                  <c:v>2.5595479226995357</c:v>
                </c:pt>
                <c:pt idx="6">
                  <c:v>3.088843596477481</c:v>
                </c:pt>
                <c:pt idx="7">
                  <c:v>3.7275937203149403</c:v>
                </c:pt>
                <c:pt idx="8">
                  <c:v>4.4984326689694463</c:v>
                </c:pt>
                <c:pt idx="9">
                  <c:v>5.4286754393238601</c:v>
                </c:pt>
                <c:pt idx="10">
                  <c:v>6.5512855685955085</c:v>
                </c:pt>
                <c:pt idx="11">
                  <c:v>7.9060432109076979</c:v>
                </c:pt>
                <c:pt idx="12">
                  <c:v>9.5409547634999381</c:v>
                </c:pt>
                <c:pt idx="13">
                  <c:v>11.513953993264472</c:v>
                </c:pt>
                <c:pt idx="14">
                  <c:v>13.894954943731378</c:v>
                </c:pt>
                <c:pt idx="15">
                  <c:v>16.768329368110084</c:v>
                </c:pt>
                <c:pt idx="16">
                  <c:v>20.235896477251586</c:v>
                </c:pt>
                <c:pt idx="17">
                  <c:v>24.420530945486529</c:v>
                </c:pt>
                <c:pt idx="18">
                  <c:v>29.470517025518134</c:v>
                </c:pt>
                <c:pt idx="19">
                  <c:v>35.564803062231341</c:v>
                </c:pt>
                <c:pt idx="20">
                  <c:v>42.919342601287845</c:v>
                </c:pt>
                <c:pt idx="21">
                  <c:v>51.794746792312196</c:v>
                </c:pt>
                <c:pt idx="22">
                  <c:v>62.505519252739866</c:v>
                </c:pt>
                <c:pt idx="23">
                  <c:v>75.431200633546311</c:v>
                </c:pt>
                <c:pt idx="24">
                  <c:v>91.029817799152397</c:v>
                </c:pt>
                <c:pt idx="25">
                  <c:v>109.85411419875615</c:v>
                </c:pt>
                <c:pt idx="26">
                  <c:v>132.57113655901125</c:v>
                </c:pt>
                <c:pt idx="27">
                  <c:v>159.98587196060632</c:v>
                </c:pt>
                <c:pt idx="28">
                  <c:v>193.06977288832573</c:v>
                </c:pt>
                <c:pt idx="29">
                  <c:v>232.99518105153797</c:v>
                </c:pt>
                <c:pt idx="30">
                  <c:v>281.17686979742416</c:v>
                </c:pt>
                <c:pt idx="31">
                  <c:v>339.32217718953405</c:v>
                </c:pt>
                <c:pt idx="32">
                  <c:v>409.49150623804417</c:v>
                </c:pt>
                <c:pt idx="33">
                  <c:v>494.1713361323857</c:v>
                </c:pt>
                <c:pt idx="34">
                  <c:v>596.3623316594668</c:v>
                </c:pt>
                <c:pt idx="35">
                  <c:v>719.68567300115546</c:v>
                </c:pt>
                <c:pt idx="36">
                  <c:v>868.51137375135727</c:v>
                </c:pt>
                <c:pt idx="37">
                  <c:v>1048.1131341546909</c:v>
                </c:pt>
                <c:pt idx="38">
                  <c:v>1264.8552168553031</c:v>
                </c:pt>
                <c:pt idx="39">
                  <c:v>1526.4179671752427</c:v>
                </c:pt>
                <c:pt idx="40">
                  <c:v>1842.0699693267266</c:v>
                </c:pt>
                <c:pt idx="41">
                  <c:v>2222.9964825262086</c:v>
                </c:pt>
                <c:pt idx="42">
                  <c:v>2682.6957952797443</c:v>
                </c:pt>
                <c:pt idx="43">
                  <c:v>3237.4575428176649</c:v>
                </c:pt>
                <c:pt idx="44">
                  <c:v>3906.9399370546412</c:v>
                </c:pt>
                <c:pt idx="45">
                  <c:v>4714.8663634574295</c:v>
                </c:pt>
                <c:pt idx="46">
                  <c:v>5689.8660290183379</c:v>
                </c:pt>
                <c:pt idx="47">
                  <c:v>6866.488450043048</c:v>
                </c:pt>
                <c:pt idx="48">
                  <c:v>8286.4277285469125</c:v>
                </c:pt>
                <c:pt idx="49">
                  <c:v>10000.000000000009</c:v>
                </c:pt>
              </c:numCache>
            </c:numRef>
          </c:xVal>
          <c:yVal>
            <c:numRef>
              <c:f>'2° ordre'!$J$43:$J$98</c:f>
              <c:numCache>
                <c:formatCode>0.00</c:formatCode>
                <c:ptCount val="56"/>
                <c:pt idx="0">
                  <c:v>-0.57299599346298502</c:v>
                </c:pt>
                <c:pt idx="1">
                  <c:v>-0.69150838545452997</c:v>
                </c:pt>
                <c:pt idx="2">
                  <c:v>-0.83454420525146289</c:v>
                </c:pt>
                <c:pt idx="3">
                  <c:v>-1.0071867918735955</c:v>
                </c:pt>
                <c:pt idx="4">
                  <c:v>-1.2155798311164816</c:v>
                </c:pt>
                <c:pt idx="5">
                  <c:v>-1.4671535631476631</c:v>
                </c:pt>
                <c:pt idx="6">
                  <c:v>-1.7709030293571049</c:v>
                </c:pt>
                <c:pt idx="7">
                  <c:v>-2.1377331166086377</c:v>
                </c:pt>
                <c:pt idx="8">
                  <c:v>-2.5808912542663052</c:v>
                </c:pt>
                <c:pt idx="9">
                  <c:v>-3.1165183117727215</c:v>
                </c:pt>
                <c:pt idx="10">
                  <c:v>-3.7643640860924492</c:v>
                </c:pt>
                <c:pt idx="11">
                  <c:v>-4.54874027691198</c:v>
                </c:pt>
                <c:pt idx="12">
                  <c:v>-5.499829094659999</c:v>
                </c:pt>
                <c:pt idx="13">
                  <c:v>-6.6555442096974877</c:v>
                </c:pt>
                <c:pt idx="14">
                  <c:v>-8.064279270427992</c:v>
                </c:pt>
                <c:pt idx="15">
                  <c:v>-9.7891269449287819</c:v>
                </c:pt>
                <c:pt idx="16">
                  <c:v>-11.914600104720899</c:v>
                </c:pt>
                <c:pt idx="17">
                  <c:v>-14.557705935342529</c:v>
                </c:pt>
                <c:pt idx="18">
                  <c:v>-17.886710669149341</c:v>
                </c:pt>
                <c:pt idx="19">
                  <c:v>-22.153505103304312</c:v>
                </c:pt>
                <c:pt idx="20">
                  <c:v>-27.749117899673742</c:v>
                </c:pt>
                <c:pt idx="21">
                  <c:v>-35.29235597024627</c:v>
                </c:pt>
                <c:pt idx="22">
                  <c:v>-45.730995872146046</c:v>
                </c:pt>
                <c:pt idx="23">
                  <c:v>-60.256380457081995</c:v>
                </c:pt>
                <c:pt idx="24">
                  <c:v>-79.339227292442047</c:v>
                </c:pt>
                <c:pt idx="25">
                  <c:v>-100.66077270755855</c:v>
                </c:pt>
                <c:pt idx="26">
                  <c:v>-119.74361954291842</c:v>
                </c:pt>
                <c:pt idx="27">
                  <c:v>-134.26900412785432</c:v>
                </c:pt>
                <c:pt idx="28">
                  <c:v>-144.70764402975396</c:v>
                </c:pt>
                <c:pt idx="29">
                  <c:v>-152.25088210032644</c:v>
                </c:pt>
                <c:pt idx="30">
                  <c:v>-157.84649489669579</c:v>
                </c:pt>
                <c:pt idx="31">
                  <c:v>-162.11328933085076</c:v>
                </c:pt>
                <c:pt idx="32">
                  <c:v>-165.44229406465757</c:v>
                </c:pt>
                <c:pt idx="33">
                  <c:v>-168.08539989527921</c:v>
                </c:pt>
                <c:pt idx="34">
                  <c:v>-170.21087305507135</c:v>
                </c:pt>
                <c:pt idx="35">
                  <c:v>-171.93572072957204</c:v>
                </c:pt>
                <c:pt idx="36">
                  <c:v>-173.34445579030259</c:v>
                </c:pt>
                <c:pt idx="37">
                  <c:v>-174.50017090533996</c:v>
                </c:pt>
                <c:pt idx="38">
                  <c:v>-175.4512597230881</c:v>
                </c:pt>
                <c:pt idx="39">
                  <c:v>-176.23563591390746</c:v>
                </c:pt>
                <c:pt idx="40">
                  <c:v>-176.88348168822714</c:v>
                </c:pt>
                <c:pt idx="41">
                  <c:v>-177.41910874573355</c:v>
                </c:pt>
                <c:pt idx="42">
                  <c:v>-177.86226688339153</c:v>
                </c:pt>
                <c:pt idx="43">
                  <c:v>-178.22909697064287</c:v>
                </c:pt>
                <c:pt idx="44">
                  <c:v>-178.53284643685231</c:v>
                </c:pt>
                <c:pt idx="45">
                  <c:v>-178.78442016888383</c:v>
                </c:pt>
                <c:pt idx="46">
                  <c:v>-178.99281320812534</c:v>
                </c:pt>
                <c:pt idx="47">
                  <c:v>-179.16545579474896</c:v>
                </c:pt>
                <c:pt idx="48">
                  <c:v>-179.30849161454546</c:v>
                </c:pt>
                <c:pt idx="49">
                  <c:v>-179.42700400653638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39-4116-A1A9-FD382E6A0312}"/>
            </c:ext>
          </c:extLst>
        </c:ser>
        <c:ser>
          <c:idx val="6"/>
          <c:order val="2"/>
          <c:tx>
            <c:v>Point Asymptotique</c:v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rgbClr val="00B050"/>
                </a:solidFill>
              </a:ln>
              <a:effectLst/>
            </c:spPr>
          </c:marker>
          <c:xVal>
            <c:numRef>
              <c:f>'2° ordre'!$C$28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'2° ordre'!$F$34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39-4116-A1A9-FD382E6A0312}"/>
            </c:ext>
          </c:extLst>
        </c:ser>
        <c:ser>
          <c:idx val="2"/>
          <c:order val="3"/>
          <c:tx>
            <c:v>Point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38100">
                <a:solidFill>
                  <a:srgbClr val="7030A0"/>
                </a:solidFill>
              </a:ln>
              <a:effectLst/>
            </c:spPr>
          </c:marker>
          <c:xVal>
            <c:numRef>
              <c:f>'2° ordre'!$C$28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'2° ordre'!$L$34</c:f>
              <c:numCache>
                <c:formatCode>0.00</c:formatCode>
                <c:ptCount val="1"/>
                <c:pt idx="0">
                  <c:v>-5.7678888979141014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39-4116-A1A9-FD382E6A0312}"/>
            </c:ext>
          </c:extLst>
        </c:ser>
        <c:ser>
          <c:idx val="4"/>
          <c:order val="4"/>
          <c:tx>
            <c:v>Horizontal asymptotique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('2° ordre'!$N$5,'2° ordre'!$C$28)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10</c:v>
                </c:pt>
              </c:numCache>
            </c:numRef>
          </c:xVal>
          <c:yVal>
            <c:numRef>
              <c:f>('2° ordre'!$F$34,'2° ordre'!$F$34)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39-4116-A1A9-FD382E6A0312}"/>
            </c:ext>
          </c:extLst>
        </c:ser>
        <c:ser>
          <c:idx val="5"/>
          <c:order val="5"/>
          <c:tx>
            <c:v>Horizontal réel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('2° ordre'!$N$5,'2° ordre'!$C$28)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10</c:v>
                </c:pt>
              </c:numCache>
            </c:numRef>
          </c:xVal>
          <c:yVal>
            <c:numRef>
              <c:f>('2° ordre'!$L$34,'2° ordre'!$L$34)</c:f>
              <c:numCache>
                <c:formatCode>0.00</c:formatCode>
                <c:ptCount val="2"/>
                <c:pt idx="0">
                  <c:v>-5.7678888979141014</c:v>
                </c:pt>
                <c:pt idx="1">
                  <c:v>-5.7678888979141014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39-4116-A1A9-FD382E6A0312}"/>
            </c:ext>
          </c:extLst>
        </c:ser>
        <c:ser>
          <c:idx val="3"/>
          <c:order val="6"/>
          <c:tx>
            <c:v>Vertical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rgbClr val="FF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39-4116-A1A9-FD382E6A0312}"/>
              </c:ext>
            </c:extLst>
          </c:dPt>
          <c:xVal>
            <c:numRef>
              <c:f>('2° ordre'!$C$28,'2° ordre'!$C$28)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('2° ordre'!$C$38,'2° ordre'!$C$39)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-5.7678888979141014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639-4116-A1A9-FD382E6A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833616"/>
        <c:axId val="605832832"/>
      </c:scatterChart>
      <c:valAx>
        <c:axId val="6058336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832832"/>
        <c:crosses val="autoZero"/>
        <c:crossBetween val="midCat"/>
      </c:valAx>
      <c:valAx>
        <c:axId val="605832832"/>
        <c:scaling>
          <c:orientation val="minMax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583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Phase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('1° ordre'!$D$18,'1° ordre'!$F$18,'1° ordre'!$H$18,'1° ordre'!$J$18)</c:f>
              <c:numCache>
                <c:formatCode>0.00</c:formatCode>
                <c:ptCount val="4"/>
                <c:pt idx="0">
                  <c:v>0.01</c:v>
                </c:pt>
                <c:pt idx="1">
                  <c:v>1</c:v>
                </c:pt>
                <c:pt idx="2">
                  <c:v>1</c:v>
                </c:pt>
                <c:pt idx="3">
                  <c:v>100</c:v>
                </c:pt>
              </c:numCache>
            </c:numRef>
          </c:xVal>
          <c:yVal>
            <c:numRef>
              <c:f>('1° ordre'!$D$19,'1° ordre'!$F$19,'1° ordre'!$H$19,'1° ordre'!$J$19)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-90</c:v>
                </c:pt>
                <c:pt idx="3">
                  <c:v>-90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36-4585-A8F3-020D2C09725D}"/>
            </c:ext>
          </c:extLst>
        </c:ser>
        <c:ser>
          <c:idx val="1"/>
          <c:order val="1"/>
          <c:tx>
            <c:v>Phase réelle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'1° ordre'!$D$39:$D$88</c:f>
              <c:numCache>
                <c:formatCode>0.00</c:formatCode>
                <c:ptCount val="50"/>
                <c:pt idx="0">
                  <c:v>9.999999999999995E-3</c:v>
                </c:pt>
                <c:pt idx="1">
                  <c:v>1.2067926406393288E-2</c:v>
                </c:pt>
                <c:pt idx="2">
                  <c:v>1.4563484775012434E-2</c:v>
                </c:pt>
                <c:pt idx="3">
                  <c:v>1.7575106248547925E-2</c:v>
                </c:pt>
                <c:pt idx="4">
                  <c:v>2.1209508879201918E-2</c:v>
                </c:pt>
                <c:pt idx="5">
                  <c:v>2.5595479226995371E-2</c:v>
                </c:pt>
                <c:pt idx="6">
                  <c:v>3.0888435964774842E-2</c:v>
                </c:pt>
                <c:pt idx="7">
                  <c:v>3.7275937203149444E-2</c:v>
                </c:pt>
                <c:pt idx="8">
                  <c:v>4.4984326689694515E-2</c:v>
                </c:pt>
                <c:pt idx="9">
                  <c:v>5.4286754393238698E-2</c:v>
                </c:pt>
                <c:pt idx="10">
                  <c:v>6.5512855685955218E-2</c:v>
                </c:pt>
                <c:pt idx="11">
                  <c:v>7.906043210907715E-2</c:v>
                </c:pt>
                <c:pt idx="12">
                  <c:v>9.5409547634999592E-2</c:v>
                </c:pt>
                <c:pt idx="13">
                  <c:v>0.11513953993264499</c:v>
                </c:pt>
                <c:pt idx="14">
                  <c:v>0.13894954943731408</c:v>
                </c:pt>
                <c:pt idx="15">
                  <c:v>0.16768329368110119</c:v>
                </c:pt>
                <c:pt idx="16">
                  <c:v>0.20235896477251616</c:v>
                </c:pt>
                <c:pt idx="17">
                  <c:v>0.24420530945486563</c:v>
                </c:pt>
                <c:pt idx="18">
                  <c:v>0.29470517025518167</c:v>
                </c:pt>
                <c:pt idx="19">
                  <c:v>0.35564803062231365</c:v>
                </c:pt>
                <c:pt idx="20">
                  <c:v>0.42919342601287863</c:v>
                </c:pt>
                <c:pt idx="21">
                  <c:v>0.51794746792312218</c:v>
                </c:pt>
                <c:pt idx="22">
                  <c:v>0.6250551925273985</c:v>
                </c:pt>
                <c:pt idx="23">
                  <c:v>0.75431200633546325</c:v>
                </c:pt>
                <c:pt idx="24">
                  <c:v>0.91029817799152368</c:v>
                </c:pt>
                <c:pt idx="25">
                  <c:v>1.0985411419875604</c:v>
                </c:pt>
                <c:pt idx="26">
                  <c:v>1.3257113655901118</c:v>
                </c:pt>
                <c:pt idx="27">
                  <c:v>1.5998587196060614</c:v>
                </c:pt>
                <c:pt idx="28">
                  <c:v>1.9306977288832539</c:v>
                </c:pt>
                <c:pt idx="29">
                  <c:v>2.3299518105153765</c:v>
                </c:pt>
                <c:pt idx="30">
                  <c:v>2.811768697974236</c:v>
                </c:pt>
                <c:pt idx="31">
                  <c:v>3.3932217718953352</c:v>
                </c:pt>
                <c:pt idx="32">
                  <c:v>4.0949150623804327</c:v>
                </c:pt>
                <c:pt idx="33">
                  <c:v>4.9417133613238438</c:v>
                </c:pt>
                <c:pt idx="34">
                  <c:v>5.9636233165946537</c:v>
                </c:pt>
                <c:pt idx="35">
                  <c:v>7.1968567300115343</c:v>
                </c:pt>
                <c:pt idx="36">
                  <c:v>8.6851137375135412</c:v>
                </c:pt>
                <c:pt idx="37">
                  <c:v>10.481131341546877</c:v>
                </c:pt>
                <c:pt idx="38">
                  <c:v>12.648552168552987</c:v>
                </c:pt>
                <c:pt idx="39">
                  <c:v>15.264179671752366</c:v>
                </c:pt>
                <c:pt idx="40">
                  <c:v>18.42069969326721</c:v>
                </c:pt>
                <c:pt idx="41">
                  <c:v>22.229964825262009</c:v>
                </c:pt>
                <c:pt idx="42">
                  <c:v>26.826957952797333</c:v>
                </c:pt>
                <c:pt idx="43">
                  <c:v>32.374575428176534</c:v>
                </c:pt>
                <c:pt idx="44">
                  <c:v>39.069399370546307</c:v>
                </c:pt>
                <c:pt idx="45">
                  <c:v>47.148663634574106</c:v>
                </c:pt>
                <c:pt idx="46">
                  <c:v>56.898660290183201</c:v>
                </c:pt>
                <c:pt idx="47">
                  <c:v>68.664884500430276</c:v>
                </c:pt>
                <c:pt idx="48">
                  <c:v>82.864277285468802</c:v>
                </c:pt>
                <c:pt idx="49">
                  <c:v>100.00000000000004</c:v>
                </c:pt>
              </c:numCache>
            </c:numRef>
          </c:xVal>
          <c:yVal>
            <c:numRef>
              <c:f>'1° ordre'!$J$39:$J$88</c:f>
              <c:numCache>
                <c:formatCode>0.00</c:formatCode>
                <c:ptCount val="50"/>
                <c:pt idx="0">
                  <c:v>-0.5729386976834856</c:v>
                </c:pt>
                <c:pt idx="1">
                  <c:v>-0.69140768751311654</c:v>
                </c:pt>
                <c:pt idx="2">
                  <c:v>-0.83436722755010884</c:v>
                </c:pt>
                <c:pt idx="3">
                  <c:v>-1.0068757516829758</c:v>
                </c:pt>
                <c:pt idx="4">
                  <c:v>-1.21503317467617</c:v>
                </c:pt>
                <c:pt idx="5">
                  <c:v>-1.4661928086455116</c:v>
                </c:pt>
                <c:pt idx="6">
                  <c:v>-1.7692144931120313</c:v>
                </c:pt>
                <c:pt idx="7">
                  <c:v>-2.1347654962191758</c:v>
                </c:pt>
                <c:pt idx="8">
                  <c:v>-2.5756756299110362</c:v>
                </c:pt>
                <c:pt idx="9">
                  <c:v>-3.1073517966058728</c:v>
                </c:pt>
                <c:pt idx="10">
                  <c:v>-3.7482538385809669</c:v>
                </c:pt>
                <c:pt idx="11">
                  <c:v>-4.5204263473000541</c:v>
                </c:pt>
                <c:pt idx="12">
                  <c:v>-5.450067070997016</c:v>
                </c:pt>
                <c:pt idx="13">
                  <c:v>-6.568086970329114</c:v>
                </c:pt>
                <c:pt idx="14">
                  <c:v>-7.9105724923755139</c:v>
                </c:pt>
                <c:pt idx="15">
                  <c:v>-9.518987003056429</c:v>
                </c:pt>
                <c:pt idx="16">
                  <c:v>-11.439833635030991</c:v>
                </c:pt>
                <c:pt idx="17">
                  <c:v>-13.723338707792415</c:v>
                </c:pt>
                <c:pt idx="18">
                  <c:v>-16.420517860503853</c:v>
                </c:pt>
                <c:pt idx="19">
                  <c:v>-19.577829473393297</c:v>
                </c:pt>
                <c:pt idx="20">
                  <c:v>-23.228691552373693</c:v>
                </c:pt>
                <c:pt idx="21">
                  <c:v>-27.381783477870737</c:v>
                </c:pt>
                <c:pt idx="22">
                  <c:v>-32.00765716435356</c:v>
                </c:pt>
                <c:pt idx="23">
                  <c:v>-37.027688904708228</c:v>
                </c:pt>
                <c:pt idx="24">
                  <c:v>-42.311538387733663</c:v>
                </c:pt>
                <c:pt idx="25">
                  <c:v>-47.688461612266458</c:v>
                </c:pt>
                <c:pt idx="26">
                  <c:v>-52.972311095291886</c:v>
                </c:pt>
                <c:pt idx="27">
                  <c:v>-57.992342835646532</c:v>
                </c:pt>
                <c:pt idx="28">
                  <c:v>-62.618216522129366</c:v>
                </c:pt>
                <c:pt idx="29">
                  <c:v>-66.771308447626396</c:v>
                </c:pt>
                <c:pt idx="30">
                  <c:v>-70.422170526606777</c:v>
                </c:pt>
                <c:pt idx="31">
                  <c:v>-73.579482139496207</c:v>
                </c:pt>
                <c:pt idx="32">
                  <c:v>-76.276661292207635</c:v>
                </c:pt>
                <c:pt idx="33">
                  <c:v>-78.560166364969049</c:v>
                </c:pt>
                <c:pt idx="34">
                  <c:v>-80.481012996943619</c:v>
                </c:pt>
                <c:pt idx="35">
                  <c:v>-82.089427507624521</c:v>
                </c:pt>
                <c:pt idx="36">
                  <c:v>-83.431913029670909</c:v>
                </c:pt>
                <c:pt idx="37">
                  <c:v>-84.54993292900302</c:v>
                </c:pt>
                <c:pt idx="38">
                  <c:v>-85.479573652699955</c:v>
                </c:pt>
                <c:pt idx="39">
                  <c:v>-86.251746161419064</c:v>
                </c:pt>
                <c:pt idx="40">
                  <c:v>-86.892648203394145</c:v>
                </c:pt>
                <c:pt idx="41">
                  <c:v>-87.424324370088982</c:v>
                </c:pt>
                <c:pt idx="42">
                  <c:v>-87.86523450378084</c:v>
                </c:pt>
                <c:pt idx="43">
                  <c:v>-88.230785506887983</c:v>
                </c:pt>
                <c:pt idx="44">
                  <c:v>-88.533807191354498</c:v>
                </c:pt>
                <c:pt idx="45">
                  <c:v>-88.784966825323849</c:v>
                </c:pt>
                <c:pt idx="46">
                  <c:v>-88.993124248317031</c:v>
                </c:pt>
                <c:pt idx="47">
                  <c:v>-89.165632772449911</c:v>
                </c:pt>
                <c:pt idx="48">
                  <c:v>-89.308592312486894</c:v>
                </c:pt>
                <c:pt idx="49">
                  <c:v>-89.427061302316531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36-4585-A8F3-020D2C09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236760"/>
        <c:axId val="234238720"/>
      </c:scatterChart>
      <c:valAx>
        <c:axId val="2342367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238720"/>
        <c:crosses val="autoZero"/>
        <c:crossBetween val="midCat"/>
      </c:valAx>
      <c:valAx>
        <c:axId val="234238720"/>
        <c:scaling>
          <c:orientation val="minMax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4236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Entrée - Sortie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Entrée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'1° ordre'!$P$65:$P$114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2.564565431501872E-2</c:v>
                </c:pt>
                <c:pt idx="2">
                  <c:v>5.129130863003744E-2</c:v>
                </c:pt>
                <c:pt idx="3">
                  <c:v>7.6936962945056156E-2</c:v>
                </c:pt>
                <c:pt idx="4">
                  <c:v>0.10258261726007488</c:v>
                </c:pt>
                <c:pt idx="5">
                  <c:v>0.12822827157509359</c:v>
                </c:pt>
                <c:pt idx="6">
                  <c:v>0.15387392589011231</c:v>
                </c:pt>
                <c:pt idx="7">
                  <c:v>0.17951958020513104</c:v>
                </c:pt>
                <c:pt idx="8">
                  <c:v>0.20516523452014976</c:v>
                </c:pt>
                <c:pt idx="9">
                  <c:v>0.23081088883516848</c:v>
                </c:pt>
                <c:pt idx="10">
                  <c:v>0.25645654315018718</c:v>
                </c:pt>
                <c:pt idx="11">
                  <c:v>0.28210219746520587</c:v>
                </c:pt>
                <c:pt idx="12">
                  <c:v>0.30774785178022457</c:v>
                </c:pt>
                <c:pt idx="13">
                  <c:v>0.33339350609524326</c:v>
                </c:pt>
                <c:pt idx="14">
                  <c:v>0.35903916041026196</c:v>
                </c:pt>
                <c:pt idx="15">
                  <c:v>0.38468481472528065</c:v>
                </c:pt>
                <c:pt idx="16">
                  <c:v>0.41033046904029935</c:v>
                </c:pt>
                <c:pt idx="17">
                  <c:v>0.43597612335531805</c:v>
                </c:pt>
                <c:pt idx="18">
                  <c:v>0.46162177767033674</c:v>
                </c:pt>
                <c:pt idx="19">
                  <c:v>0.48726743198535544</c:v>
                </c:pt>
                <c:pt idx="20">
                  <c:v>0.51291308630037413</c:v>
                </c:pt>
                <c:pt idx="21">
                  <c:v>0.53855874061539288</c:v>
                </c:pt>
                <c:pt idx="22">
                  <c:v>0.56420439493041163</c:v>
                </c:pt>
                <c:pt idx="23">
                  <c:v>0.58985004924543039</c:v>
                </c:pt>
                <c:pt idx="24">
                  <c:v>0.61549570356044914</c:v>
                </c:pt>
                <c:pt idx="25">
                  <c:v>0.64114135787546789</c:v>
                </c:pt>
                <c:pt idx="26">
                  <c:v>0.66678701219048664</c:v>
                </c:pt>
                <c:pt idx="27">
                  <c:v>0.69243266650550539</c:v>
                </c:pt>
                <c:pt idx="28">
                  <c:v>0.71807832082052414</c:v>
                </c:pt>
                <c:pt idx="29">
                  <c:v>0.74372397513554289</c:v>
                </c:pt>
                <c:pt idx="30">
                  <c:v>0.76936962945056164</c:v>
                </c:pt>
                <c:pt idx="31">
                  <c:v>0.79501528376558039</c:v>
                </c:pt>
                <c:pt idx="32">
                  <c:v>0.82066093808059914</c:v>
                </c:pt>
                <c:pt idx="33">
                  <c:v>0.8463065923956179</c:v>
                </c:pt>
                <c:pt idx="34">
                  <c:v>0.87195224671063665</c:v>
                </c:pt>
                <c:pt idx="35">
                  <c:v>0.8975979010256554</c:v>
                </c:pt>
                <c:pt idx="36">
                  <c:v>0.92324355534067415</c:v>
                </c:pt>
                <c:pt idx="37">
                  <c:v>0.9488892096556929</c:v>
                </c:pt>
                <c:pt idx="38">
                  <c:v>0.97453486397071165</c:v>
                </c:pt>
                <c:pt idx="39">
                  <c:v>1.0001805182857304</c:v>
                </c:pt>
                <c:pt idx="40">
                  <c:v>1.0258261726007492</c:v>
                </c:pt>
                <c:pt idx="41">
                  <c:v>1.0514718269157679</c:v>
                </c:pt>
                <c:pt idx="42">
                  <c:v>1.0771174812307867</c:v>
                </c:pt>
                <c:pt idx="43">
                  <c:v>1.1027631355458054</c:v>
                </c:pt>
                <c:pt idx="44">
                  <c:v>1.1284087898608242</c:v>
                </c:pt>
                <c:pt idx="45">
                  <c:v>1.1540544441758429</c:v>
                </c:pt>
                <c:pt idx="46">
                  <c:v>1.1797000984908617</c:v>
                </c:pt>
                <c:pt idx="47">
                  <c:v>1.2053457528058804</c:v>
                </c:pt>
                <c:pt idx="48">
                  <c:v>1.2309914071208992</c:v>
                </c:pt>
                <c:pt idx="49">
                  <c:v>1.2566370614359172</c:v>
                </c:pt>
              </c:numCache>
            </c:numRef>
          </c:xVal>
          <c:yVal>
            <c:numRef>
              <c:f>'1° ordre'!$Q$65:$Q$114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5.0730916781901474</c:v>
                </c:pt>
                <c:pt idx="2">
                  <c:v>9.8143510400787566</c:v>
                </c:pt>
                <c:pt idx="3">
                  <c:v>13.913651012069728</c:v>
                </c:pt>
                <c:pt idx="4">
                  <c:v>17.102855260106921</c:v>
                </c:pt>
                <c:pt idx="5">
                  <c:v>19.17335706073321</c:v>
                </c:pt>
                <c:pt idx="6">
                  <c:v>19.989724324013757</c:v>
                </c:pt>
                <c:pt idx="7">
                  <c:v>19.498558243636474</c:v>
                </c:pt>
                <c:pt idx="8">
                  <c:v>17.731986127460001</c:v>
                </c:pt>
                <c:pt idx="9">
                  <c:v>14.80555994150631</c:v>
                </c:pt>
                <c:pt idx="10">
                  <c:v>10.91069802421098</c:v>
                </c:pt>
                <c:pt idx="11">
                  <c:v>6.3021643604724256</c:v>
                </c:pt>
                <c:pt idx="12">
                  <c:v>1.2814043996142734</c:v>
                </c:pt>
                <c:pt idx="13">
                  <c:v>-3.8231725740274287</c:v>
                </c:pt>
                <c:pt idx="14">
                  <c:v>-8.6776747823511435</c:v>
                </c:pt>
                <c:pt idx="15">
                  <c:v>-12.964567906155743</c:v>
                </c:pt>
                <c:pt idx="16">
                  <c:v>-16.403445091939094</c:v>
                </c:pt>
                <c:pt idx="17">
                  <c:v>-18.769368440995191</c:v>
                </c:pt>
                <c:pt idx="18">
                  <c:v>-19.907582258983961</c:v>
                </c:pt>
                <c:pt idx="19">
                  <c:v>-19.743635668289009</c:v>
                </c:pt>
                <c:pt idx="20">
                  <c:v>-18.288252460316272</c:v>
                </c:pt>
                <c:pt idx="21">
                  <c:v>-15.636629649360621</c:v>
                </c:pt>
                <c:pt idx="22">
                  <c:v>-11.962210609824353</c:v>
                </c:pt>
                <c:pt idx="23">
                  <c:v>-7.5053400975875251</c:v>
                </c:pt>
                <c:pt idx="24">
                  <c:v>-2.5575432336901498</c:v>
                </c:pt>
                <c:pt idx="25">
                  <c:v>2.5575432336901049</c:v>
                </c:pt>
                <c:pt idx="26">
                  <c:v>7.5053400975874665</c:v>
                </c:pt>
                <c:pt idx="27">
                  <c:v>11.962210609824302</c:v>
                </c:pt>
                <c:pt idx="28">
                  <c:v>15.636629649360591</c:v>
                </c:pt>
                <c:pt idx="29">
                  <c:v>18.288252460316254</c:v>
                </c:pt>
                <c:pt idx="30">
                  <c:v>19.743635668289002</c:v>
                </c:pt>
                <c:pt idx="31">
                  <c:v>19.907582258983965</c:v>
                </c:pt>
                <c:pt idx="32">
                  <c:v>18.769368440995201</c:v>
                </c:pt>
                <c:pt idx="33">
                  <c:v>16.403445091939098</c:v>
                </c:pt>
                <c:pt idx="34">
                  <c:v>12.964567906155757</c:v>
                </c:pt>
                <c:pt idx="35">
                  <c:v>8.6776747823511364</c:v>
                </c:pt>
                <c:pt idx="36">
                  <c:v>3.823172574027403</c:v>
                </c:pt>
                <c:pt idx="37">
                  <c:v>-1.2814043996143167</c:v>
                </c:pt>
                <c:pt idx="38">
                  <c:v>-6.3021643604724833</c:v>
                </c:pt>
                <c:pt idx="39">
                  <c:v>-10.910698024211019</c:v>
                </c:pt>
                <c:pt idx="40">
                  <c:v>-14.805559941506356</c:v>
                </c:pt>
                <c:pt idx="41">
                  <c:v>-17.73198612746004</c:v>
                </c:pt>
                <c:pt idx="42">
                  <c:v>-19.498558243636484</c:v>
                </c:pt>
                <c:pt idx="43">
                  <c:v>-19.989724324013757</c:v>
                </c:pt>
                <c:pt idx="44">
                  <c:v>-19.173357060733188</c:v>
                </c:pt>
                <c:pt idx="45">
                  <c:v>-17.102855260106868</c:v>
                </c:pt>
                <c:pt idx="46">
                  <c:v>-13.913651012069639</c:v>
                </c:pt>
                <c:pt idx="47">
                  <c:v>-9.8143510400786678</c:v>
                </c:pt>
                <c:pt idx="48">
                  <c:v>-5.0730916781900346</c:v>
                </c:pt>
                <c:pt idx="49">
                  <c:v>-9.8011876392689601E-15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09-4522-A467-1B4260BD7074}"/>
            </c:ext>
          </c:extLst>
        </c:ser>
        <c:ser>
          <c:idx val="1"/>
          <c:order val="1"/>
          <c:tx>
            <c:v>Sortie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'1° ordre'!$P$65:$P$114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2.564565431501872E-2</c:v>
                </c:pt>
                <c:pt idx="2">
                  <c:v>5.129130863003744E-2</c:v>
                </c:pt>
                <c:pt idx="3">
                  <c:v>7.6936962945056156E-2</c:v>
                </c:pt>
                <c:pt idx="4">
                  <c:v>0.10258261726007488</c:v>
                </c:pt>
                <c:pt idx="5">
                  <c:v>0.12822827157509359</c:v>
                </c:pt>
                <c:pt idx="6">
                  <c:v>0.15387392589011231</c:v>
                </c:pt>
                <c:pt idx="7">
                  <c:v>0.17951958020513104</c:v>
                </c:pt>
                <c:pt idx="8">
                  <c:v>0.20516523452014976</c:v>
                </c:pt>
                <c:pt idx="9">
                  <c:v>0.23081088883516848</c:v>
                </c:pt>
                <c:pt idx="10">
                  <c:v>0.25645654315018718</c:v>
                </c:pt>
                <c:pt idx="11">
                  <c:v>0.28210219746520587</c:v>
                </c:pt>
                <c:pt idx="12">
                  <c:v>0.30774785178022457</c:v>
                </c:pt>
                <c:pt idx="13">
                  <c:v>0.33339350609524326</c:v>
                </c:pt>
                <c:pt idx="14">
                  <c:v>0.35903916041026196</c:v>
                </c:pt>
                <c:pt idx="15">
                  <c:v>0.38468481472528065</c:v>
                </c:pt>
                <c:pt idx="16">
                  <c:v>0.41033046904029935</c:v>
                </c:pt>
                <c:pt idx="17">
                  <c:v>0.43597612335531805</c:v>
                </c:pt>
                <c:pt idx="18">
                  <c:v>0.46162177767033674</c:v>
                </c:pt>
                <c:pt idx="19">
                  <c:v>0.48726743198535544</c:v>
                </c:pt>
                <c:pt idx="20">
                  <c:v>0.51291308630037413</c:v>
                </c:pt>
                <c:pt idx="21">
                  <c:v>0.53855874061539288</c:v>
                </c:pt>
                <c:pt idx="22">
                  <c:v>0.56420439493041163</c:v>
                </c:pt>
                <c:pt idx="23">
                  <c:v>0.58985004924543039</c:v>
                </c:pt>
                <c:pt idx="24">
                  <c:v>0.61549570356044914</c:v>
                </c:pt>
                <c:pt idx="25">
                  <c:v>0.64114135787546789</c:v>
                </c:pt>
                <c:pt idx="26">
                  <c:v>0.66678701219048664</c:v>
                </c:pt>
                <c:pt idx="27">
                  <c:v>0.69243266650550539</c:v>
                </c:pt>
                <c:pt idx="28">
                  <c:v>0.71807832082052414</c:v>
                </c:pt>
                <c:pt idx="29">
                  <c:v>0.74372397513554289</c:v>
                </c:pt>
                <c:pt idx="30">
                  <c:v>0.76936962945056164</c:v>
                </c:pt>
                <c:pt idx="31">
                  <c:v>0.79501528376558039</c:v>
                </c:pt>
                <c:pt idx="32">
                  <c:v>0.82066093808059914</c:v>
                </c:pt>
                <c:pt idx="33">
                  <c:v>0.8463065923956179</c:v>
                </c:pt>
                <c:pt idx="34">
                  <c:v>0.87195224671063665</c:v>
                </c:pt>
                <c:pt idx="35">
                  <c:v>0.8975979010256554</c:v>
                </c:pt>
                <c:pt idx="36">
                  <c:v>0.92324355534067415</c:v>
                </c:pt>
                <c:pt idx="37">
                  <c:v>0.9488892096556929</c:v>
                </c:pt>
                <c:pt idx="38">
                  <c:v>0.97453486397071165</c:v>
                </c:pt>
                <c:pt idx="39">
                  <c:v>1.0001805182857304</c:v>
                </c:pt>
                <c:pt idx="40">
                  <c:v>1.0258261726007492</c:v>
                </c:pt>
                <c:pt idx="41">
                  <c:v>1.0514718269157679</c:v>
                </c:pt>
                <c:pt idx="42">
                  <c:v>1.0771174812307867</c:v>
                </c:pt>
                <c:pt idx="43">
                  <c:v>1.1027631355458054</c:v>
                </c:pt>
                <c:pt idx="44">
                  <c:v>1.1284087898608242</c:v>
                </c:pt>
                <c:pt idx="45">
                  <c:v>1.1540544441758429</c:v>
                </c:pt>
                <c:pt idx="46">
                  <c:v>1.1797000984908617</c:v>
                </c:pt>
                <c:pt idx="47">
                  <c:v>1.2053457528058804</c:v>
                </c:pt>
                <c:pt idx="48">
                  <c:v>1.2309914071208992</c:v>
                </c:pt>
                <c:pt idx="49">
                  <c:v>1.2566370614359172</c:v>
                </c:pt>
              </c:numCache>
            </c:numRef>
          </c:xVal>
          <c:yVal>
            <c:numRef>
              <c:f>'1° ordre'!$R$65:$R$114</c:f>
              <c:numCache>
                <c:formatCode>0.00</c:formatCode>
                <c:ptCount val="50"/>
                <c:pt idx="0">
                  <c:v>-19.801980198019805</c:v>
                </c:pt>
                <c:pt idx="1">
                  <c:v>-18.652067418773839</c:v>
                </c:pt>
                <c:pt idx="2">
                  <c:v>-16.28211780045536</c:v>
                </c:pt>
                <c:pt idx="3">
                  <c:v>-12.847150396779785</c:v>
                </c:pt>
                <c:pt idx="4">
                  <c:v>-8.5718473665344685</c:v>
                </c:pt>
                <c:pt idx="5">
                  <c:v>-3.7358574520270644</c:v>
                </c:pt>
                <c:pt idx="6">
                  <c:v>1.3444959217507593</c:v>
                </c:pt>
                <c:pt idx="7">
                  <c:v>6.336905448999933</c:v>
                </c:pt>
                <c:pt idx="8">
                  <c:v>10.914816255012575</c:v>
                </c:pt>
                <c:pt idx="9">
                  <c:v>14.778785939977197</c:v>
                </c:pt>
                <c:pt idx="10">
                  <c:v>17.676071188374163</c:v>
                </c:pt>
                <c:pt idx="11">
                  <c:v>19.417159778475856</c:v>
                </c:pt>
                <c:pt idx="12">
                  <c:v>19.888166628681343</c:v>
                </c:pt>
                <c:pt idx="13">
                  <c:v>19.058283051899576</c:v>
                </c:pt>
                <c:pt idx="14">
                  <c:v>16.981791960211169</c:v>
                </c:pt>
                <c:pt idx="15">
                  <c:v>13.79451720471994</c:v>
                </c:pt>
                <c:pt idx="16">
                  <c:v>9.7049393002470516</c:v>
                </c:pt>
                <c:pt idx="17">
                  <c:v>4.9805586577491869</c:v>
                </c:pt>
                <c:pt idx="18">
                  <c:v>-6.9601690836345986E-2</c:v>
                </c:pt>
                <c:pt idx="19">
                  <c:v>-5.1152093737588444</c:v>
                </c:pt>
                <c:pt idx="20">
                  <c:v>-9.8262298103756951</c:v>
                </c:pt>
                <c:pt idx="21">
                  <c:v>-13.894513863475941</c:v>
                </c:pt>
                <c:pt idx="22">
                  <c:v>-17.053953958754001</c:v>
                </c:pt>
                <c:pt idx="23">
                  <c:v>-19.097890254137795</c:v>
                </c:pt>
                <c:pt idx="24">
                  <c:v>-19.892628316667263</c:v>
                </c:pt>
                <c:pt idx="25">
                  <c:v>-19.386184111976153</c:v>
                </c:pt>
                <c:pt idx="26">
                  <c:v>-17.611684294219504</c:v>
                </c:pt>
                <c:pt idx="27">
                  <c:v>-14.685199382551206</c:v>
                </c:pt>
                <c:pt idx="28">
                  <c:v>-10.7981515566719</c:v>
                </c:pt>
                <c:pt idx="29">
                  <c:v>-6.2047936796200451</c:v>
                </c:pt>
                <c:pt idx="30">
                  <c:v>-1.2055785483551285</c:v>
                </c:pt>
                <c:pt idx="31">
                  <c:v>3.8724938059921126</c:v>
                </c:pt>
                <c:pt idx="32">
                  <c:v>8.6972652797284056</c:v>
                </c:pt>
                <c:pt idx="33">
                  <c:v>12.953146249145872</c:v>
                </c:pt>
                <c:pt idx="34">
                  <c:v>16.361758374255718</c:v>
                </c:pt>
                <c:pt idx="35">
                  <c:v>18.700143402260899</c:v>
                </c:pt>
                <c:pt idx="36">
                  <c:v>19.815346927944613</c:v>
                </c:pt>
                <c:pt idx="37">
                  <c:v>19.634423183213165</c:v>
                </c:pt>
                <c:pt idx="38">
                  <c:v>18.169206439768413</c:v>
                </c:pt>
                <c:pt idx="39">
                  <c:v>15.515536926154132</c:v>
                </c:pt>
                <c:pt idx="40">
                  <c:v>11.846991892154126</c:v>
                </c:pt>
                <c:pt idx="41">
                  <c:v>7.4035318733372417</c:v>
                </c:pt>
                <c:pt idx="42">
                  <c:v>2.4758048066956069</c:v>
                </c:pt>
                <c:pt idx="43">
                  <c:v>-2.6138653305292445</c:v>
                </c:pt>
                <c:pt idx="44">
                  <c:v>-7.53256182048918</c:v>
                </c:pt>
                <c:pt idx="45">
                  <c:v>-11.958551378436896</c:v>
                </c:pt>
                <c:pt idx="46">
                  <c:v>-15.602328815011496</c:v>
                </c:pt>
                <c:pt idx="47">
                  <c:v>-18.225553649975954</c:v>
                </c:pt>
                <c:pt idx="48">
                  <c:v>-19.656640028316456</c:v>
                </c:pt>
                <c:pt idx="49">
                  <c:v>-19.801980198019805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09-4522-A467-1B4260BD7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7736"/>
        <c:axId val="236298520"/>
      </c:scatterChart>
      <c:valAx>
        <c:axId val="236297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8520"/>
        <c:crosses val="autoZero"/>
        <c:crossBetween val="midCat"/>
      </c:valAx>
      <c:valAx>
        <c:axId val="23629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7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Nyquist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'1° ordre'!$K$39:$K$88</c:f>
              <c:numCache>
                <c:formatCode>0.00</c:formatCode>
                <c:ptCount val="50"/>
                <c:pt idx="0">
                  <c:v>9.9990000999900008</c:v>
                </c:pt>
                <c:pt idx="1">
                  <c:v>9.9985438635867023</c:v>
                </c:pt>
                <c:pt idx="2">
                  <c:v>9.9978794988599571</c:v>
                </c:pt>
                <c:pt idx="3">
                  <c:v>9.9969121102043843</c:v>
                </c:pt>
                <c:pt idx="4">
                  <c:v>9.9955035900107898</c:v>
                </c:pt>
                <c:pt idx="5">
                  <c:v>9.9934530035557376</c:v>
                </c:pt>
                <c:pt idx="6">
                  <c:v>9.990468139541445</c:v>
                </c:pt>
                <c:pt idx="7">
                  <c:v>9.9861243252438232</c:v>
                </c:pt>
                <c:pt idx="8">
                  <c:v>9.9798049699764384</c:v>
                </c:pt>
                <c:pt idx="9">
                  <c:v>9.9706160789091598</c:v>
                </c:pt>
                <c:pt idx="10">
                  <c:v>9.9572640771700431</c:v>
                </c:pt>
                <c:pt idx="11">
                  <c:v>9.937882747857234</c:v>
                </c:pt>
                <c:pt idx="12">
                  <c:v>9.9097913498991055</c:v>
                </c:pt>
                <c:pt idx="13">
                  <c:v>9.8691633793907592</c:v>
                </c:pt>
                <c:pt idx="14">
                  <c:v>9.8105872154413625</c:v>
                </c:pt>
                <c:pt idx="15">
                  <c:v>9.7265129533726586</c:v>
                </c:pt>
                <c:pt idx="16">
                  <c:v>9.606617185870558</c:v>
                </c:pt>
                <c:pt idx="17">
                  <c:v>9.437200887442593</c:v>
                </c:pt>
                <c:pt idx="18">
                  <c:v>9.2008920597452697</c:v>
                </c:pt>
                <c:pt idx="19">
                  <c:v>8.8771669120409715</c:v>
                </c:pt>
                <c:pt idx="20">
                  <c:v>8.4444696120711633</c:v>
                </c:pt>
                <c:pt idx="21">
                  <c:v>7.8847590145005402</c:v>
                </c:pt>
                <c:pt idx="22">
                  <c:v>7.1906544827703573</c:v>
                </c:pt>
                <c:pt idx="23">
                  <c:v>6.3735407182604726</c:v>
                </c:pt>
                <c:pt idx="24">
                  <c:v>5.4685366373603062</c:v>
                </c:pt>
                <c:pt idx="25">
                  <c:v>4.5314633626396743</c:v>
                </c:pt>
                <c:pt idx="26">
                  <c:v>3.6264592817395096</c:v>
                </c:pt>
                <c:pt idx="27">
                  <c:v>2.8093455172296267</c:v>
                </c:pt>
                <c:pt idx="28">
                  <c:v>2.1152409854994465</c:v>
                </c:pt>
                <c:pt idx="29">
                  <c:v>1.5555303879288274</c:v>
                </c:pt>
                <c:pt idx="30">
                  <c:v>1.1228330879590207</c:v>
                </c:pt>
                <c:pt idx="31">
                  <c:v>0.79910794025472498</c:v>
                </c:pt>
                <c:pt idx="32">
                  <c:v>0.56279911255740123</c:v>
                </c:pt>
                <c:pt idx="33">
                  <c:v>0.39338281412943865</c:v>
                </c:pt>
                <c:pt idx="34">
                  <c:v>0.2734870466273403</c:v>
                </c:pt>
                <c:pt idx="35">
                  <c:v>0.18941278455863617</c:v>
                </c:pt>
                <c:pt idx="36">
                  <c:v>0.13083662060923976</c:v>
                </c:pt>
                <c:pt idx="37">
                  <c:v>9.0208650100892671E-2</c:v>
                </c:pt>
                <c:pt idx="38">
                  <c:v>6.2117252142765783E-2</c:v>
                </c:pt>
                <c:pt idx="39">
                  <c:v>4.2735922829955496E-2</c:v>
                </c:pt>
                <c:pt idx="40">
                  <c:v>2.9383921090839545E-2</c:v>
                </c:pt>
                <c:pt idx="41">
                  <c:v>2.0195030023560285E-2</c:v>
                </c:pt>
                <c:pt idx="42">
                  <c:v>1.3875674756176204E-2</c:v>
                </c:pt>
                <c:pt idx="43">
                  <c:v>9.5318604585551778E-3</c:v>
                </c:pt>
                <c:pt idx="44">
                  <c:v>6.5469964442631682E-3</c:v>
                </c:pt>
                <c:pt idx="45">
                  <c:v>4.4964099892105588E-3</c:v>
                </c:pt>
                <c:pt idx="46">
                  <c:v>3.0878897956152741E-3</c:v>
                </c:pt>
                <c:pt idx="47">
                  <c:v>2.1205011400425937E-3</c:v>
                </c:pt>
                <c:pt idx="48">
                  <c:v>1.4561364132963774E-3</c:v>
                </c:pt>
                <c:pt idx="49">
                  <c:v>9.9990000999899921E-4</c:v>
                </c:pt>
              </c:numCache>
            </c:numRef>
          </c:xVal>
          <c:yVal>
            <c:numRef>
              <c:f>'1° ordre'!$L$39:$L$88</c:f>
              <c:numCache>
                <c:formatCode>0.00</c:formatCode>
                <c:ptCount val="50"/>
                <c:pt idx="0">
                  <c:v>-9.9990000999899964E-2</c:v>
                </c:pt>
                <c:pt idx="1">
                  <c:v>-0.12066169151685954</c:v>
                </c:pt>
                <c:pt idx="2">
                  <c:v>-0.14560396586405591</c:v>
                </c:pt>
                <c:pt idx="3">
                  <c:v>-0.1756967924942375</c:v>
                </c:pt>
                <c:pt idx="4">
                  <c:v>-0.2119997221444285</c:v>
                </c:pt>
                <c:pt idx="5">
                  <c:v>-0.25578721875846538</c:v>
                </c:pt>
                <c:pt idx="6">
                  <c:v>-0.30858993538634916</c:v>
                </c:pt>
                <c:pt idx="7">
                  <c:v>-0.37224214325063187</c:v>
                </c:pt>
                <c:pt idx="8">
                  <c:v>-0.44893480706885708</c:v>
                </c:pt>
                <c:pt idx="9">
                  <c:v>-0.54127238622501828</c:v>
                </c:pt>
                <c:pt idx="10">
                  <c:v>-0.65232880451458708</c:v>
                </c:pt>
                <c:pt idx="11">
                  <c:v>-0.78569330429493589</c:v>
                </c:pt>
                <c:pt idx="12">
                  <c:v>-0.94548870985110567</c:v>
                </c:pt>
                <c:pt idx="13">
                  <c:v>-1.1363309310231597</c:v>
                </c:pt>
                <c:pt idx="14">
                  <c:v>-1.3631766733010511</c:v>
                </c:pt>
                <c:pt idx="15">
                  <c:v>-1.6309737280534224</c:v>
                </c:pt>
                <c:pt idx="16">
                  <c:v>-1.9439851086986288</c:v>
                </c:pt>
                <c:pt idx="17">
                  <c:v>-2.3046145631056514</c:v>
                </c:pt>
                <c:pt idx="18">
                  <c:v>-2.7115504609667789</c:v>
                </c:pt>
                <c:pt idx="19">
                  <c:v>-3.1571469297729369</c:v>
                </c:pt>
                <c:pt idx="20">
                  <c:v>-3.6243108436664668</c:v>
                </c:pt>
                <c:pt idx="21">
                  <c:v>-4.0838909667445664</c:v>
                </c:pt>
                <c:pt idx="22">
                  <c:v>-4.4945559221260272</c:v>
                </c:pt>
                <c:pt idx="23">
                  <c:v>-4.8076382866518266</c:v>
                </c:pt>
                <c:pt idx="24">
                  <c:v>-4.9779989372689801</c:v>
                </c:pt>
                <c:pt idx="25">
                  <c:v>-4.9779989372689784</c:v>
                </c:pt>
                <c:pt idx="26">
                  <c:v>-4.8076382866518212</c:v>
                </c:pt>
                <c:pt idx="27">
                  <c:v>-4.4945559221260183</c:v>
                </c:pt>
                <c:pt idx="28">
                  <c:v>-4.0838909667445566</c:v>
                </c:pt>
                <c:pt idx="29">
                  <c:v>-3.6243108436664571</c:v>
                </c:pt>
                <c:pt idx="30">
                  <c:v>-3.1571469297729267</c:v>
                </c:pt>
                <c:pt idx="31">
                  <c:v>-2.7115504609667695</c:v>
                </c:pt>
                <c:pt idx="32">
                  <c:v>-2.3046145631056429</c:v>
                </c:pt>
                <c:pt idx="33">
                  <c:v>-1.9439851086986211</c:v>
                </c:pt>
                <c:pt idx="34">
                  <c:v>-1.6309737280534158</c:v>
                </c:pt>
                <c:pt idx="35">
                  <c:v>-1.3631766733010453</c:v>
                </c:pt>
                <c:pt idx="36">
                  <c:v>-1.1363309310231553</c:v>
                </c:pt>
                <c:pt idx="37">
                  <c:v>-0.945488709851102</c:v>
                </c:pt>
                <c:pt idx="38">
                  <c:v>-0.78569330429493289</c:v>
                </c:pt>
                <c:pt idx="39">
                  <c:v>-0.65232880451458464</c:v>
                </c:pt>
                <c:pt idx="40">
                  <c:v>-0.54127238622501583</c:v>
                </c:pt>
                <c:pt idx="41">
                  <c:v>-0.44893480706885536</c:v>
                </c:pt>
                <c:pt idx="42">
                  <c:v>-0.37224214325063049</c:v>
                </c:pt>
                <c:pt idx="43">
                  <c:v>-0.30858993538634799</c:v>
                </c:pt>
                <c:pt idx="44">
                  <c:v>-0.25578721875846433</c:v>
                </c:pt>
                <c:pt idx="45">
                  <c:v>-0.21199972214442761</c:v>
                </c:pt>
                <c:pt idx="46">
                  <c:v>-0.17569679249423673</c:v>
                </c:pt>
                <c:pt idx="47">
                  <c:v>-0.14560396586405541</c:v>
                </c:pt>
                <c:pt idx="48">
                  <c:v>-0.12066169151685902</c:v>
                </c:pt>
                <c:pt idx="49">
                  <c:v>-9.9990000999899964E-2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7E-4E63-84F8-305723765238}"/>
            </c:ext>
          </c:extLst>
        </c:ser>
        <c:ser>
          <c:idx val="1"/>
          <c:order val="1"/>
          <c:tx>
            <c:v>Départ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'1° ordre'!$K$39</c:f>
              <c:numCache>
                <c:formatCode>0.00</c:formatCode>
                <c:ptCount val="1"/>
                <c:pt idx="0">
                  <c:v>9.9990000999900008</c:v>
                </c:pt>
              </c:numCache>
            </c:numRef>
          </c:xVal>
          <c:yVal>
            <c:numRef>
              <c:f>'1° ordre'!$L$39</c:f>
              <c:numCache>
                <c:formatCode>0.00</c:formatCode>
                <c:ptCount val="1"/>
                <c:pt idx="0">
                  <c:v>-9.9990000999899964E-2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7E-4E63-84F8-305723765238}"/>
            </c:ext>
          </c:extLst>
        </c:ser>
        <c:ser>
          <c:idx val="2"/>
          <c:order val="2"/>
          <c:tx>
            <c:v>Point-Sortie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10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97E-4E63-84F8-305723765238}"/>
              </c:ext>
            </c:extLst>
          </c:dPt>
          <c:xVal>
            <c:numRef>
              <c:f>('1° ordre'!$J$33,'1° ordre'!$J$30)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9.9009900990099015E-2</c:v>
                </c:pt>
              </c:numCache>
            </c:numRef>
          </c:xVal>
          <c:yVal>
            <c:numRef>
              <c:f>('1° ordre'!$J$33,'1° ordre'!$J$32)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-0.99009900990099009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7E-4E63-84F8-30572376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89504"/>
        <c:axId val="236297344"/>
      </c:scatterChart>
      <c:valAx>
        <c:axId val="23628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7344"/>
        <c:crosses val="autoZero"/>
        <c:crossBetween val="midCat"/>
      </c:valAx>
      <c:valAx>
        <c:axId val="2362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Im(H)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8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Black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'1° ordre'!$J$39:$J$88</c:f>
              <c:numCache>
                <c:formatCode>0.00</c:formatCode>
                <c:ptCount val="50"/>
                <c:pt idx="0">
                  <c:v>-0.5729386976834856</c:v>
                </c:pt>
                <c:pt idx="1">
                  <c:v>-0.69140768751311654</c:v>
                </c:pt>
                <c:pt idx="2">
                  <c:v>-0.83436722755010884</c:v>
                </c:pt>
                <c:pt idx="3">
                  <c:v>-1.0068757516829758</c:v>
                </c:pt>
                <c:pt idx="4">
                  <c:v>-1.21503317467617</c:v>
                </c:pt>
                <c:pt idx="5">
                  <c:v>-1.4661928086455116</c:v>
                </c:pt>
                <c:pt idx="6">
                  <c:v>-1.7692144931120313</c:v>
                </c:pt>
                <c:pt idx="7">
                  <c:v>-2.1347654962191758</c:v>
                </c:pt>
                <c:pt idx="8">
                  <c:v>-2.5756756299110362</c:v>
                </c:pt>
                <c:pt idx="9">
                  <c:v>-3.1073517966058728</c:v>
                </c:pt>
                <c:pt idx="10">
                  <c:v>-3.7482538385809669</c:v>
                </c:pt>
                <c:pt idx="11">
                  <c:v>-4.5204263473000541</c:v>
                </c:pt>
                <c:pt idx="12">
                  <c:v>-5.450067070997016</c:v>
                </c:pt>
                <c:pt idx="13">
                  <c:v>-6.568086970329114</c:v>
                </c:pt>
                <c:pt idx="14">
                  <c:v>-7.9105724923755139</c:v>
                </c:pt>
                <c:pt idx="15">
                  <c:v>-9.518987003056429</c:v>
                </c:pt>
                <c:pt idx="16">
                  <c:v>-11.439833635030991</c:v>
                </c:pt>
                <c:pt idx="17">
                  <c:v>-13.723338707792415</c:v>
                </c:pt>
                <c:pt idx="18">
                  <c:v>-16.420517860503853</c:v>
                </c:pt>
                <c:pt idx="19">
                  <c:v>-19.577829473393297</c:v>
                </c:pt>
                <c:pt idx="20">
                  <c:v>-23.228691552373693</c:v>
                </c:pt>
                <c:pt idx="21">
                  <c:v>-27.381783477870737</c:v>
                </c:pt>
                <c:pt idx="22">
                  <c:v>-32.00765716435356</c:v>
                </c:pt>
                <c:pt idx="23">
                  <c:v>-37.027688904708228</c:v>
                </c:pt>
                <c:pt idx="24">
                  <c:v>-42.311538387733663</c:v>
                </c:pt>
                <c:pt idx="25">
                  <c:v>-47.688461612266458</c:v>
                </c:pt>
                <c:pt idx="26">
                  <c:v>-52.972311095291886</c:v>
                </c:pt>
                <c:pt idx="27">
                  <c:v>-57.992342835646532</c:v>
                </c:pt>
                <c:pt idx="28">
                  <c:v>-62.618216522129366</c:v>
                </c:pt>
                <c:pt idx="29">
                  <c:v>-66.771308447626396</c:v>
                </c:pt>
                <c:pt idx="30">
                  <c:v>-70.422170526606777</c:v>
                </c:pt>
                <c:pt idx="31">
                  <c:v>-73.579482139496207</c:v>
                </c:pt>
                <c:pt idx="32">
                  <c:v>-76.276661292207635</c:v>
                </c:pt>
                <c:pt idx="33">
                  <c:v>-78.560166364969049</c:v>
                </c:pt>
                <c:pt idx="34">
                  <c:v>-80.481012996943619</c:v>
                </c:pt>
                <c:pt idx="35">
                  <c:v>-82.089427507624521</c:v>
                </c:pt>
                <c:pt idx="36">
                  <c:v>-83.431913029670909</c:v>
                </c:pt>
                <c:pt idx="37">
                  <c:v>-84.54993292900302</c:v>
                </c:pt>
                <c:pt idx="38">
                  <c:v>-85.479573652699955</c:v>
                </c:pt>
                <c:pt idx="39">
                  <c:v>-86.251746161419064</c:v>
                </c:pt>
                <c:pt idx="40">
                  <c:v>-86.892648203394145</c:v>
                </c:pt>
                <c:pt idx="41">
                  <c:v>-87.424324370088982</c:v>
                </c:pt>
                <c:pt idx="42">
                  <c:v>-87.86523450378084</c:v>
                </c:pt>
                <c:pt idx="43">
                  <c:v>-88.230785506887983</c:v>
                </c:pt>
                <c:pt idx="44">
                  <c:v>-88.533807191354498</c:v>
                </c:pt>
                <c:pt idx="45">
                  <c:v>-88.784966825323849</c:v>
                </c:pt>
                <c:pt idx="46">
                  <c:v>-88.993124248317031</c:v>
                </c:pt>
                <c:pt idx="47">
                  <c:v>-89.165632772449911</c:v>
                </c:pt>
                <c:pt idx="48">
                  <c:v>-89.308592312486894</c:v>
                </c:pt>
                <c:pt idx="49">
                  <c:v>-89.427061302316531</c:v>
                </c:pt>
              </c:numCache>
            </c:numRef>
          </c:xVal>
          <c:yVal>
            <c:numRef>
              <c:f>'1° ordre'!$F$39:$F$88</c:f>
              <c:numCache>
                <c:formatCode>0.00</c:formatCode>
                <c:ptCount val="50"/>
                <c:pt idx="0">
                  <c:v>19.999565727231374</c:v>
                </c:pt>
                <c:pt idx="1">
                  <c:v>19.999367561943885</c:v>
                </c:pt>
                <c:pt idx="2">
                  <c:v>19.999078980401404</c:v>
                </c:pt>
                <c:pt idx="3">
                  <c:v>19.998658739407137</c:v>
                </c:pt>
                <c:pt idx="4">
                  <c:v>19.998046794799826</c:v>
                </c:pt>
                <c:pt idx="5">
                  <c:v>19.997155744403024</c:v>
                </c:pt>
                <c:pt idx="6">
                  <c:v>19.995858391425102</c:v>
                </c:pt>
                <c:pt idx="7">
                  <c:v>19.993969686318934</c:v>
                </c:pt>
                <c:pt idx="8">
                  <c:v>19.991220541840985</c:v>
                </c:pt>
                <c:pt idx="9">
                  <c:v>19.98721993959029</c:v>
                </c:pt>
                <c:pt idx="10">
                  <c:v>19.981400252297949</c:v>
                </c:pt>
                <c:pt idx="11">
                  <c:v>19.972938684148474</c:v>
                </c:pt>
                <c:pt idx="12">
                  <c:v>19.960645105355866</c:v>
                </c:pt>
                <c:pt idx="13">
                  <c:v>19.942803385750093</c:v>
                </c:pt>
                <c:pt idx="14">
                  <c:v>19.916950029756102</c:v>
                </c:pt>
                <c:pt idx="15">
                  <c:v>19.879571695036841</c:v>
                </c:pt>
                <c:pt idx="16">
                  <c:v>19.825704848437987</c:v>
                </c:pt>
                <c:pt idx="17">
                  <c:v>19.748431998699051</c:v>
                </c:pt>
                <c:pt idx="18">
                  <c:v>19.638299358068132</c:v>
                </c:pt>
                <c:pt idx="19">
                  <c:v>19.482743857355246</c:v>
                </c:pt>
                <c:pt idx="20">
                  <c:v>19.265723772007568</c:v>
                </c:pt>
                <c:pt idx="21">
                  <c:v>18.967884243266866</c:v>
                </c:pt>
                <c:pt idx="22">
                  <c:v>18.567684210254139</c:v>
                </c:pt>
                <c:pt idx="23">
                  <c:v>18.043807647053821</c:v>
                </c:pt>
                <c:pt idx="24">
                  <c:v>17.378711260875836</c:v>
                </c:pt>
                <c:pt idx="25">
                  <c:v>16.562384730263592</c:v>
                </c:pt>
                <c:pt idx="26">
                  <c:v>15.59482805521708</c:v>
                </c:pt>
                <c:pt idx="27">
                  <c:v>14.486051557192907</c:v>
                </c:pt>
                <c:pt idx="28">
                  <c:v>13.253598528981144</c:v>
                </c:pt>
                <c:pt idx="29">
                  <c:v>11.918784996497354</c:v>
                </c:pt>
                <c:pt idx="30">
                  <c:v>10.503152020620538</c:v>
                </c:pt>
                <c:pt idx="31">
                  <c:v>9.0260544601089308</c:v>
                </c:pt>
                <c:pt idx="32">
                  <c:v>7.5035340395153618</c:v>
                </c:pt>
                <c:pt idx="33">
                  <c:v>5.9481538280298096</c:v>
                </c:pt>
                <c:pt idx="34">
                  <c:v>4.3693676134041741</c:v>
                </c:pt>
                <c:pt idx="35">
                  <c:v>2.7740928868989423</c:v>
                </c:pt>
                <c:pt idx="36">
                  <c:v>1.1672931816684453</c:v>
                </c:pt>
                <c:pt idx="37">
                  <c:v>-0.44751815995027133</c:v>
                </c:pt>
                <c:pt idx="38">
                  <c:v>-2.0678776423821548</c:v>
                </c:pt>
                <c:pt idx="39">
                  <c:v>-3.69206913545717</c:v>
                </c:pt>
                <c:pt idx="40">
                  <c:v>-5.3189025093893241</c:v>
                </c:pt>
                <c:pt idx="41">
                  <c:v>-6.9475549683631197</c:v>
                </c:pt>
                <c:pt idx="42">
                  <c:v>-8.5774588851096603</c:v>
                </c:pt>
                <c:pt idx="43">
                  <c:v>-10.208223241227985</c:v>
                </c:pt>
                <c:pt idx="44">
                  <c:v>-11.839578949474559</c:v>
                </c:pt>
                <c:pt idx="45">
                  <c:v>-13.471340960302244</c:v>
                </c:pt>
                <c:pt idx="46">
                  <c:v>-15.103382076919431</c:v>
                </c:pt>
                <c:pt idx="47">
                  <c:v>-16.735614897149652</c:v>
                </c:pt>
                <c:pt idx="48">
                  <c:v>-18.367979376831663</c:v>
                </c:pt>
                <c:pt idx="49">
                  <c:v>-20.000434272768629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41-4D9E-BAFE-0C5B89AB0AB9}"/>
            </c:ext>
          </c:extLst>
        </c:ser>
        <c:ser>
          <c:idx val="1"/>
          <c:order val="1"/>
          <c:tx>
            <c:v>Départ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'1° ordre'!$J$39</c:f>
              <c:numCache>
                <c:formatCode>0.00</c:formatCode>
                <c:ptCount val="1"/>
                <c:pt idx="0">
                  <c:v>-0.5729386976834856</c:v>
                </c:pt>
              </c:numCache>
            </c:numRef>
          </c:xVal>
          <c:yVal>
            <c:numRef>
              <c:f>'1° ordre'!$F$39</c:f>
              <c:numCache>
                <c:formatCode>0.00</c:formatCode>
                <c:ptCount val="1"/>
                <c:pt idx="0">
                  <c:v>19.999565727231374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41-4D9E-BAFE-0C5B89AB0AB9}"/>
            </c:ext>
          </c:extLst>
        </c:ser>
        <c:ser>
          <c:idx val="2"/>
          <c:order val="2"/>
          <c:tx>
            <c:v>Point-Sortie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'1° ordre'!$L$30</c:f>
              <c:numCache>
                <c:formatCode>0.00</c:formatCode>
                <c:ptCount val="1"/>
                <c:pt idx="0">
                  <c:v>-84.289406862500371</c:v>
                </c:pt>
              </c:numCache>
            </c:numRef>
          </c:xVal>
          <c:yVal>
            <c:numRef>
              <c:f>'1° ordre'!$I$32</c:f>
              <c:numCache>
                <c:formatCode>0.00</c:formatCode>
                <c:ptCount val="1"/>
                <c:pt idx="0">
                  <c:v>-4.321373782642559E-2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41-4D9E-BAFE-0C5B89AB0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300872"/>
        <c:axId val="236296560"/>
      </c:scatterChart>
      <c:valAx>
        <c:axId val="23630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Phase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6560"/>
        <c:crosses val="autoZero"/>
        <c:crossBetween val="midCat"/>
      </c:valAx>
      <c:valAx>
        <c:axId val="2362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G</a:t>
                </a:r>
                <a:r>
                  <a:rPr lang="fr-FR" baseline="-25000"/>
                  <a:t>db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300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Gain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('1° ordre'!$D$16,'1° ordre'!$F$16,'1° ordre'!$H$16)</c:f>
              <c:numCache>
                <c:formatCode>0.00</c:formatCode>
                <c:ptCount val="3"/>
                <c:pt idx="0">
                  <c:v>0.01</c:v>
                </c:pt>
                <c:pt idx="1">
                  <c:v>1</c:v>
                </c:pt>
                <c:pt idx="2">
                  <c:v>100</c:v>
                </c:pt>
              </c:numCache>
            </c:numRef>
          </c:xVal>
          <c:yVal>
            <c:numRef>
              <c:f>('1° ordre'!$D$17,'1° ordre'!$F$17,'1° ordre'!$H$17)</c:f>
              <c:numCache>
                <c:formatCode>0.00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-20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3B-4533-B0D7-12D953ADDBAD}"/>
            </c:ext>
          </c:extLst>
        </c:ser>
        <c:ser>
          <c:idx val="2"/>
          <c:order val="1"/>
          <c:tx>
            <c:v>Gain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'1° ordre'!$D$39:$D$88</c:f>
              <c:numCache>
                <c:formatCode>0.00</c:formatCode>
                <c:ptCount val="50"/>
                <c:pt idx="0">
                  <c:v>9.999999999999995E-3</c:v>
                </c:pt>
                <c:pt idx="1">
                  <c:v>1.2067926406393288E-2</c:v>
                </c:pt>
                <c:pt idx="2">
                  <c:v>1.4563484775012434E-2</c:v>
                </c:pt>
                <c:pt idx="3">
                  <c:v>1.7575106248547925E-2</c:v>
                </c:pt>
                <c:pt idx="4">
                  <c:v>2.1209508879201918E-2</c:v>
                </c:pt>
                <c:pt idx="5">
                  <c:v>2.5595479226995371E-2</c:v>
                </c:pt>
                <c:pt idx="6">
                  <c:v>3.0888435964774842E-2</c:v>
                </c:pt>
                <c:pt idx="7">
                  <c:v>3.7275937203149444E-2</c:v>
                </c:pt>
                <c:pt idx="8">
                  <c:v>4.4984326689694515E-2</c:v>
                </c:pt>
                <c:pt idx="9">
                  <c:v>5.4286754393238698E-2</c:v>
                </c:pt>
                <c:pt idx="10">
                  <c:v>6.5512855685955218E-2</c:v>
                </c:pt>
                <c:pt idx="11">
                  <c:v>7.906043210907715E-2</c:v>
                </c:pt>
                <c:pt idx="12">
                  <c:v>9.5409547634999592E-2</c:v>
                </c:pt>
                <c:pt idx="13">
                  <c:v>0.11513953993264499</c:v>
                </c:pt>
                <c:pt idx="14">
                  <c:v>0.13894954943731408</c:v>
                </c:pt>
                <c:pt idx="15">
                  <c:v>0.16768329368110119</c:v>
                </c:pt>
                <c:pt idx="16">
                  <c:v>0.20235896477251616</c:v>
                </c:pt>
                <c:pt idx="17">
                  <c:v>0.24420530945486563</c:v>
                </c:pt>
                <c:pt idx="18">
                  <c:v>0.29470517025518167</c:v>
                </c:pt>
                <c:pt idx="19">
                  <c:v>0.35564803062231365</c:v>
                </c:pt>
                <c:pt idx="20">
                  <c:v>0.42919342601287863</c:v>
                </c:pt>
                <c:pt idx="21">
                  <c:v>0.51794746792312218</c:v>
                </c:pt>
                <c:pt idx="22">
                  <c:v>0.6250551925273985</c:v>
                </c:pt>
                <c:pt idx="23">
                  <c:v>0.75431200633546325</c:v>
                </c:pt>
                <c:pt idx="24">
                  <c:v>0.91029817799152368</c:v>
                </c:pt>
                <c:pt idx="25">
                  <c:v>1.0985411419875604</c:v>
                </c:pt>
                <c:pt idx="26">
                  <c:v>1.3257113655901118</c:v>
                </c:pt>
                <c:pt idx="27">
                  <c:v>1.5998587196060614</c:v>
                </c:pt>
                <c:pt idx="28">
                  <c:v>1.9306977288832539</c:v>
                </c:pt>
                <c:pt idx="29">
                  <c:v>2.3299518105153765</c:v>
                </c:pt>
                <c:pt idx="30">
                  <c:v>2.811768697974236</c:v>
                </c:pt>
                <c:pt idx="31">
                  <c:v>3.3932217718953352</c:v>
                </c:pt>
                <c:pt idx="32">
                  <c:v>4.0949150623804327</c:v>
                </c:pt>
                <c:pt idx="33">
                  <c:v>4.9417133613238438</c:v>
                </c:pt>
                <c:pt idx="34">
                  <c:v>5.9636233165946537</c:v>
                </c:pt>
                <c:pt idx="35">
                  <c:v>7.1968567300115343</c:v>
                </c:pt>
                <c:pt idx="36">
                  <c:v>8.6851137375135412</c:v>
                </c:pt>
                <c:pt idx="37">
                  <c:v>10.481131341546877</c:v>
                </c:pt>
                <c:pt idx="38">
                  <c:v>12.648552168552987</c:v>
                </c:pt>
                <c:pt idx="39">
                  <c:v>15.264179671752366</c:v>
                </c:pt>
                <c:pt idx="40">
                  <c:v>18.42069969326721</c:v>
                </c:pt>
                <c:pt idx="41">
                  <c:v>22.229964825262009</c:v>
                </c:pt>
                <c:pt idx="42">
                  <c:v>26.826957952797333</c:v>
                </c:pt>
                <c:pt idx="43">
                  <c:v>32.374575428176534</c:v>
                </c:pt>
                <c:pt idx="44">
                  <c:v>39.069399370546307</c:v>
                </c:pt>
                <c:pt idx="45">
                  <c:v>47.148663634574106</c:v>
                </c:pt>
                <c:pt idx="46">
                  <c:v>56.898660290183201</c:v>
                </c:pt>
                <c:pt idx="47">
                  <c:v>68.664884500430276</c:v>
                </c:pt>
                <c:pt idx="48">
                  <c:v>82.864277285468802</c:v>
                </c:pt>
                <c:pt idx="49">
                  <c:v>100.00000000000004</c:v>
                </c:pt>
              </c:numCache>
            </c:numRef>
          </c:xVal>
          <c:yVal>
            <c:numRef>
              <c:f>'1° ordre'!$F$39:$F$88</c:f>
              <c:numCache>
                <c:formatCode>0.00</c:formatCode>
                <c:ptCount val="50"/>
                <c:pt idx="0">
                  <c:v>19.999565727231374</c:v>
                </c:pt>
                <c:pt idx="1">
                  <c:v>19.999367561943885</c:v>
                </c:pt>
                <c:pt idx="2">
                  <c:v>19.999078980401404</c:v>
                </c:pt>
                <c:pt idx="3">
                  <c:v>19.998658739407137</c:v>
                </c:pt>
                <c:pt idx="4">
                  <c:v>19.998046794799826</c:v>
                </c:pt>
                <c:pt idx="5">
                  <c:v>19.997155744403024</c:v>
                </c:pt>
                <c:pt idx="6">
                  <c:v>19.995858391425102</c:v>
                </c:pt>
                <c:pt idx="7">
                  <c:v>19.993969686318934</c:v>
                </c:pt>
                <c:pt idx="8">
                  <c:v>19.991220541840985</c:v>
                </c:pt>
                <c:pt idx="9">
                  <c:v>19.98721993959029</c:v>
                </c:pt>
                <c:pt idx="10">
                  <c:v>19.981400252297949</c:v>
                </c:pt>
                <c:pt idx="11">
                  <c:v>19.972938684148474</c:v>
                </c:pt>
                <c:pt idx="12">
                  <c:v>19.960645105355866</c:v>
                </c:pt>
                <c:pt idx="13">
                  <c:v>19.942803385750093</c:v>
                </c:pt>
                <c:pt idx="14">
                  <c:v>19.916950029756102</c:v>
                </c:pt>
                <c:pt idx="15">
                  <c:v>19.879571695036841</c:v>
                </c:pt>
                <c:pt idx="16">
                  <c:v>19.825704848437987</c:v>
                </c:pt>
                <c:pt idx="17">
                  <c:v>19.748431998699051</c:v>
                </c:pt>
                <c:pt idx="18">
                  <c:v>19.638299358068132</c:v>
                </c:pt>
                <c:pt idx="19">
                  <c:v>19.482743857355246</c:v>
                </c:pt>
                <c:pt idx="20">
                  <c:v>19.265723772007568</c:v>
                </c:pt>
                <c:pt idx="21">
                  <c:v>18.967884243266866</c:v>
                </c:pt>
                <c:pt idx="22">
                  <c:v>18.567684210254139</c:v>
                </c:pt>
                <c:pt idx="23">
                  <c:v>18.043807647053821</c:v>
                </c:pt>
                <c:pt idx="24">
                  <c:v>17.378711260875836</c:v>
                </c:pt>
                <c:pt idx="25">
                  <c:v>16.562384730263592</c:v>
                </c:pt>
                <c:pt idx="26">
                  <c:v>15.59482805521708</c:v>
                </c:pt>
                <c:pt idx="27">
                  <c:v>14.486051557192907</c:v>
                </c:pt>
                <c:pt idx="28">
                  <c:v>13.253598528981144</c:v>
                </c:pt>
                <c:pt idx="29">
                  <c:v>11.918784996497354</c:v>
                </c:pt>
                <c:pt idx="30">
                  <c:v>10.503152020620538</c:v>
                </c:pt>
                <c:pt idx="31">
                  <c:v>9.0260544601089308</c:v>
                </c:pt>
                <c:pt idx="32">
                  <c:v>7.5035340395153618</c:v>
                </c:pt>
                <c:pt idx="33">
                  <c:v>5.9481538280298096</c:v>
                </c:pt>
                <c:pt idx="34">
                  <c:v>4.3693676134041741</c:v>
                </c:pt>
                <c:pt idx="35">
                  <c:v>2.7740928868989423</c:v>
                </c:pt>
                <c:pt idx="36">
                  <c:v>1.1672931816684453</c:v>
                </c:pt>
                <c:pt idx="37">
                  <c:v>-0.44751815995027133</c:v>
                </c:pt>
                <c:pt idx="38">
                  <c:v>-2.0678776423821548</c:v>
                </c:pt>
                <c:pt idx="39">
                  <c:v>-3.69206913545717</c:v>
                </c:pt>
                <c:pt idx="40">
                  <c:v>-5.3189025093893241</c:v>
                </c:pt>
                <c:pt idx="41">
                  <c:v>-6.9475549683631197</c:v>
                </c:pt>
                <c:pt idx="42">
                  <c:v>-8.5774588851096603</c:v>
                </c:pt>
                <c:pt idx="43">
                  <c:v>-10.208223241227985</c:v>
                </c:pt>
                <c:pt idx="44">
                  <c:v>-11.839578949474559</c:v>
                </c:pt>
                <c:pt idx="45">
                  <c:v>-13.471340960302244</c:v>
                </c:pt>
                <c:pt idx="46">
                  <c:v>-15.103382076919431</c:v>
                </c:pt>
                <c:pt idx="47">
                  <c:v>-16.735614897149652</c:v>
                </c:pt>
                <c:pt idx="48">
                  <c:v>-18.367979376831663</c:v>
                </c:pt>
                <c:pt idx="49">
                  <c:v>-20.000434272768629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3B-4533-B0D7-12D953ADDBAD}"/>
            </c:ext>
          </c:extLst>
        </c:ser>
        <c:ser>
          <c:idx val="6"/>
          <c:order val="2"/>
          <c:tx>
            <c:v>Point asymptotique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rgbClr val="00B050"/>
                </a:solidFill>
              </a:ln>
              <a:effectLst/>
            </c:spPr>
          </c:marker>
          <c:xVal>
            <c:numRef>
              <c:f>'1° ordre'!$C$24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'1° ordre'!$C$29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3B-4533-B0D7-12D953ADDBAD}"/>
            </c:ext>
          </c:extLst>
        </c:ser>
        <c:ser>
          <c:idx val="3"/>
          <c:order val="3"/>
          <c:tx>
            <c:v>Point réel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38100">
                <a:solidFill>
                  <a:schemeClr val="accent4"/>
                </a:solidFill>
              </a:ln>
              <a:effectLst/>
            </c:spPr>
          </c:marker>
          <c:xVal>
            <c:numRef>
              <c:f>'1° ordre'!$C$24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'1° ordre'!$I$32</c:f>
              <c:numCache>
                <c:formatCode>0.00</c:formatCode>
                <c:ptCount val="1"/>
                <c:pt idx="0">
                  <c:v>-4.321373782642559E-2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3B-4533-B0D7-12D953ADDBAD}"/>
            </c:ext>
          </c:extLst>
        </c:ser>
        <c:ser>
          <c:idx val="4"/>
          <c:order val="4"/>
          <c:tx>
            <c:v>Horizontal asymptotique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('1° ordre'!$J$10,'1° ordre'!$C$24)</c:f>
              <c:numCache>
                <c:formatCode>General</c:formatCode>
                <c:ptCount val="2"/>
                <c:pt idx="0" formatCode="0.0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('1° ordre'!$C$29,'1° ordre'!$C$29)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3B-4533-B0D7-12D953ADDBAD}"/>
            </c:ext>
          </c:extLst>
        </c:ser>
        <c:ser>
          <c:idx val="5"/>
          <c:order val="5"/>
          <c:tx>
            <c:v>Horizontal réel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('1° ordre'!$J$10,'1° ordre'!$C$24)</c:f>
              <c:numCache>
                <c:formatCode>General</c:formatCode>
                <c:ptCount val="2"/>
                <c:pt idx="0" formatCode="0.0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('1° ordre'!$I$32,'1° ordre'!$I$32)</c:f>
              <c:numCache>
                <c:formatCode>0.00</c:formatCode>
                <c:ptCount val="2"/>
                <c:pt idx="0">
                  <c:v>-4.321373782642559E-2</c:v>
                </c:pt>
                <c:pt idx="1">
                  <c:v>-4.321373782642559E-2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3B-4533-B0D7-12D953ADDBAD}"/>
            </c:ext>
          </c:extLst>
        </c:ser>
        <c:ser>
          <c:idx val="1"/>
          <c:order val="6"/>
          <c:tx>
            <c:v>Vertical</c:v>
          </c:tx>
          <c:spPr>
            <a:ln w="317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23B-4533-B0D7-12D953ADDBAD}"/>
              </c:ext>
            </c:extLst>
          </c:dPt>
          <c:xVal>
            <c:numRef>
              <c:f>('1° ordre'!$C$24,'1° ordre'!$C$24)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('1° ordre'!$C$34,'1° ordre'!$C$36)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-4.321373782642559E-2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3B-4533-B0D7-12D953AD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014240"/>
        <c:axId val="461016984"/>
      </c:scatterChart>
      <c:valAx>
        <c:axId val="46101424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016984"/>
        <c:crosses val="autoZero"/>
        <c:crossBetween val="midCat"/>
      </c:valAx>
      <c:valAx>
        <c:axId val="46101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101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Phase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('1° ordre'!$D$18,'1° ordre'!$F$18,'1° ordre'!$H$18,'1° ordre'!$J$18)</c:f>
              <c:numCache>
                <c:formatCode>0.00</c:formatCode>
                <c:ptCount val="4"/>
                <c:pt idx="0">
                  <c:v>0.01</c:v>
                </c:pt>
                <c:pt idx="1">
                  <c:v>1</c:v>
                </c:pt>
                <c:pt idx="2">
                  <c:v>1</c:v>
                </c:pt>
                <c:pt idx="3">
                  <c:v>100</c:v>
                </c:pt>
              </c:numCache>
            </c:numRef>
          </c:xVal>
          <c:yVal>
            <c:numRef>
              <c:f>('1° ordre'!$D$19,'1° ordre'!$F$19,'1° ordre'!$H$19,'1° ordre'!$J$19)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-90</c:v>
                </c:pt>
                <c:pt idx="3">
                  <c:v>-90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2C-4F78-A65F-9FD8493F4D14}"/>
            </c:ext>
          </c:extLst>
        </c:ser>
        <c:ser>
          <c:idx val="1"/>
          <c:order val="1"/>
          <c:tx>
            <c:v>Phase réelle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'1° ordre'!$D$39:$D$88</c:f>
              <c:numCache>
                <c:formatCode>0.00</c:formatCode>
                <c:ptCount val="50"/>
                <c:pt idx="0">
                  <c:v>9.999999999999995E-3</c:v>
                </c:pt>
                <c:pt idx="1">
                  <c:v>1.2067926406393288E-2</c:v>
                </c:pt>
                <c:pt idx="2">
                  <c:v>1.4563484775012434E-2</c:v>
                </c:pt>
                <c:pt idx="3">
                  <c:v>1.7575106248547925E-2</c:v>
                </c:pt>
                <c:pt idx="4">
                  <c:v>2.1209508879201918E-2</c:v>
                </c:pt>
                <c:pt idx="5">
                  <c:v>2.5595479226995371E-2</c:v>
                </c:pt>
                <c:pt idx="6">
                  <c:v>3.0888435964774842E-2</c:v>
                </c:pt>
                <c:pt idx="7">
                  <c:v>3.7275937203149444E-2</c:v>
                </c:pt>
                <c:pt idx="8">
                  <c:v>4.4984326689694515E-2</c:v>
                </c:pt>
                <c:pt idx="9">
                  <c:v>5.4286754393238698E-2</c:v>
                </c:pt>
                <c:pt idx="10">
                  <c:v>6.5512855685955218E-2</c:v>
                </c:pt>
                <c:pt idx="11">
                  <c:v>7.906043210907715E-2</c:v>
                </c:pt>
                <c:pt idx="12">
                  <c:v>9.5409547634999592E-2</c:v>
                </c:pt>
                <c:pt idx="13">
                  <c:v>0.11513953993264499</c:v>
                </c:pt>
                <c:pt idx="14">
                  <c:v>0.13894954943731408</c:v>
                </c:pt>
                <c:pt idx="15">
                  <c:v>0.16768329368110119</c:v>
                </c:pt>
                <c:pt idx="16">
                  <c:v>0.20235896477251616</c:v>
                </c:pt>
                <c:pt idx="17">
                  <c:v>0.24420530945486563</c:v>
                </c:pt>
                <c:pt idx="18">
                  <c:v>0.29470517025518167</c:v>
                </c:pt>
                <c:pt idx="19">
                  <c:v>0.35564803062231365</c:v>
                </c:pt>
                <c:pt idx="20">
                  <c:v>0.42919342601287863</c:v>
                </c:pt>
                <c:pt idx="21">
                  <c:v>0.51794746792312218</c:v>
                </c:pt>
                <c:pt idx="22">
                  <c:v>0.6250551925273985</c:v>
                </c:pt>
                <c:pt idx="23">
                  <c:v>0.75431200633546325</c:v>
                </c:pt>
                <c:pt idx="24">
                  <c:v>0.91029817799152368</c:v>
                </c:pt>
                <c:pt idx="25">
                  <c:v>1.0985411419875604</c:v>
                </c:pt>
                <c:pt idx="26">
                  <c:v>1.3257113655901118</c:v>
                </c:pt>
                <c:pt idx="27">
                  <c:v>1.5998587196060614</c:v>
                </c:pt>
                <c:pt idx="28">
                  <c:v>1.9306977288832539</c:v>
                </c:pt>
                <c:pt idx="29">
                  <c:v>2.3299518105153765</c:v>
                </c:pt>
                <c:pt idx="30">
                  <c:v>2.811768697974236</c:v>
                </c:pt>
                <c:pt idx="31">
                  <c:v>3.3932217718953352</c:v>
                </c:pt>
                <c:pt idx="32">
                  <c:v>4.0949150623804327</c:v>
                </c:pt>
                <c:pt idx="33">
                  <c:v>4.9417133613238438</c:v>
                </c:pt>
                <c:pt idx="34">
                  <c:v>5.9636233165946537</c:v>
                </c:pt>
                <c:pt idx="35">
                  <c:v>7.1968567300115343</c:v>
                </c:pt>
                <c:pt idx="36">
                  <c:v>8.6851137375135412</c:v>
                </c:pt>
                <c:pt idx="37">
                  <c:v>10.481131341546877</c:v>
                </c:pt>
                <c:pt idx="38">
                  <c:v>12.648552168552987</c:v>
                </c:pt>
                <c:pt idx="39">
                  <c:v>15.264179671752366</c:v>
                </c:pt>
                <c:pt idx="40">
                  <c:v>18.42069969326721</c:v>
                </c:pt>
                <c:pt idx="41">
                  <c:v>22.229964825262009</c:v>
                </c:pt>
                <c:pt idx="42">
                  <c:v>26.826957952797333</c:v>
                </c:pt>
                <c:pt idx="43">
                  <c:v>32.374575428176534</c:v>
                </c:pt>
                <c:pt idx="44">
                  <c:v>39.069399370546307</c:v>
                </c:pt>
                <c:pt idx="45">
                  <c:v>47.148663634574106</c:v>
                </c:pt>
                <c:pt idx="46">
                  <c:v>56.898660290183201</c:v>
                </c:pt>
                <c:pt idx="47">
                  <c:v>68.664884500430276</c:v>
                </c:pt>
                <c:pt idx="48">
                  <c:v>82.864277285468802</c:v>
                </c:pt>
                <c:pt idx="49">
                  <c:v>100.00000000000004</c:v>
                </c:pt>
              </c:numCache>
            </c:numRef>
          </c:xVal>
          <c:yVal>
            <c:numRef>
              <c:f>'1° ordre'!$J$39:$J$88</c:f>
              <c:numCache>
                <c:formatCode>0.00</c:formatCode>
                <c:ptCount val="50"/>
                <c:pt idx="0">
                  <c:v>-0.5729386976834856</c:v>
                </c:pt>
                <c:pt idx="1">
                  <c:v>-0.69140768751311654</c:v>
                </c:pt>
                <c:pt idx="2">
                  <c:v>-0.83436722755010884</c:v>
                </c:pt>
                <c:pt idx="3">
                  <c:v>-1.0068757516829758</c:v>
                </c:pt>
                <c:pt idx="4">
                  <c:v>-1.21503317467617</c:v>
                </c:pt>
                <c:pt idx="5">
                  <c:v>-1.4661928086455116</c:v>
                </c:pt>
                <c:pt idx="6">
                  <c:v>-1.7692144931120313</c:v>
                </c:pt>
                <c:pt idx="7">
                  <c:v>-2.1347654962191758</c:v>
                </c:pt>
                <c:pt idx="8">
                  <c:v>-2.5756756299110362</c:v>
                </c:pt>
                <c:pt idx="9">
                  <c:v>-3.1073517966058728</c:v>
                </c:pt>
                <c:pt idx="10">
                  <c:v>-3.7482538385809669</c:v>
                </c:pt>
                <c:pt idx="11">
                  <c:v>-4.5204263473000541</c:v>
                </c:pt>
                <c:pt idx="12">
                  <c:v>-5.450067070997016</c:v>
                </c:pt>
                <c:pt idx="13">
                  <c:v>-6.568086970329114</c:v>
                </c:pt>
                <c:pt idx="14">
                  <c:v>-7.9105724923755139</c:v>
                </c:pt>
                <c:pt idx="15">
                  <c:v>-9.518987003056429</c:v>
                </c:pt>
                <c:pt idx="16">
                  <c:v>-11.439833635030991</c:v>
                </c:pt>
                <c:pt idx="17">
                  <c:v>-13.723338707792415</c:v>
                </c:pt>
                <c:pt idx="18">
                  <c:v>-16.420517860503853</c:v>
                </c:pt>
                <c:pt idx="19">
                  <c:v>-19.577829473393297</c:v>
                </c:pt>
                <c:pt idx="20">
                  <c:v>-23.228691552373693</c:v>
                </c:pt>
                <c:pt idx="21">
                  <c:v>-27.381783477870737</c:v>
                </c:pt>
                <c:pt idx="22">
                  <c:v>-32.00765716435356</c:v>
                </c:pt>
                <c:pt idx="23">
                  <c:v>-37.027688904708228</c:v>
                </c:pt>
                <c:pt idx="24">
                  <c:v>-42.311538387733663</c:v>
                </c:pt>
                <c:pt idx="25">
                  <c:v>-47.688461612266458</c:v>
                </c:pt>
                <c:pt idx="26">
                  <c:v>-52.972311095291886</c:v>
                </c:pt>
                <c:pt idx="27">
                  <c:v>-57.992342835646532</c:v>
                </c:pt>
                <c:pt idx="28">
                  <c:v>-62.618216522129366</c:v>
                </c:pt>
                <c:pt idx="29">
                  <c:v>-66.771308447626396</c:v>
                </c:pt>
                <c:pt idx="30">
                  <c:v>-70.422170526606777</c:v>
                </c:pt>
                <c:pt idx="31">
                  <c:v>-73.579482139496207</c:v>
                </c:pt>
                <c:pt idx="32">
                  <c:v>-76.276661292207635</c:v>
                </c:pt>
                <c:pt idx="33">
                  <c:v>-78.560166364969049</c:v>
                </c:pt>
                <c:pt idx="34">
                  <c:v>-80.481012996943619</c:v>
                </c:pt>
                <c:pt idx="35">
                  <c:v>-82.089427507624521</c:v>
                </c:pt>
                <c:pt idx="36">
                  <c:v>-83.431913029670909</c:v>
                </c:pt>
                <c:pt idx="37">
                  <c:v>-84.54993292900302</c:v>
                </c:pt>
                <c:pt idx="38">
                  <c:v>-85.479573652699955</c:v>
                </c:pt>
                <c:pt idx="39">
                  <c:v>-86.251746161419064</c:v>
                </c:pt>
                <c:pt idx="40">
                  <c:v>-86.892648203394145</c:v>
                </c:pt>
                <c:pt idx="41">
                  <c:v>-87.424324370088982</c:v>
                </c:pt>
                <c:pt idx="42">
                  <c:v>-87.86523450378084</c:v>
                </c:pt>
                <c:pt idx="43">
                  <c:v>-88.230785506887983</c:v>
                </c:pt>
                <c:pt idx="44">
                  <c:v>-88.533807191354498</c:v>
                </c:pt>
                <c:pt idx="45">
                  <c:v>-88.784966825323849</c:v>
                </c:pt>
                <c:pt idx="46">
                  <c:v>-88.993124248317031</c:v>
                </c:pt>
                <c:pt idx="47">
                  <c:v>-89.165632772449911</c:v>
                </c:pt>
                <c:pt idx="48">
                  <c:v>-89.308592312486894</c:v>
                </c:pt>
                <c:pt idx="49">
                  <c:v>-89.427061302316531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C-4F78-A65F-9FD8493F4D14}"/>
            </c:ext>
          </c:extLst>
        </c:ser>
        <c:ser>
          <c:idx val="6"/>
          <c:order val="2"/>
          <c:tx>
            <c:v>Point asymptotique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38100">
                <a:solidFill>
                  <a:srgbClr val="00B050"/>
                </a:solidFill>
              </a:ln>
              <a:effectLst/>
            </c:spPr>
          </c:marker>
          <c:xVal>
            <c:numRef>
              <c:f>'1° ordre'!$C$24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'1° ordre'!$F$30</c:f>
              <c:numCache>
                <c:formatCode>General</c:formatCode>
                <c:ptCount val="1"/>
                <c:pt idx="0">
                  <c:v>-90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2C-4F78-A65F-9FD8493F4D14}"/>
            </c:ext>
          </c:extLst>
        </c:ser>
        <c:ser>
          <c:idx val="2"/>
          <c:order val="3"/>
          <c:tx>
            <c:v>Point Réel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38100">
                <a:solidFill>
                  <a:srgbClr val="7030A0"/>
                </a:solidFill>
              </a:ln>
              <a:effectLst/>
            </c:spPr>
          </c:marker>
          <c:xVal>
            <c:numRef>
              <c:f>'1° ordre'!$C$24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'1° ordre'!$L$30</c:f>
              <c:numCache>
                <c:formatCode>0.00</c:formatCode>
                <c:ptCount val="1"/>
                <c:pt idx="0">
                  <c:v>-84.289406862500371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2C-4F78-A65F-9FD8493F4D14}"/>
            </c:ext>
          </c:extLst>
        </c:ser>
        <c:ser>
          <c:idx val="4"/>
          <c:order val="4"/>
          <c:tx>
            <c:v>Horizontal asymptotique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('1° ordre'!$J$10,'1° ordre'!$C$24)</c:f>
              <c:numCache>
                <c:formatCode>General</c:formatCode>
                <c:ptCount val="2"/>
                <c:pt idx="0" formatCode="0.0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('1° ordre'!$F$30,'1° ordre'!$F$30)</c:f>
              <c:numCache>
                <c:formatCode>General</c:formatCode>
                <c:ptCount val="2"/>
                <c:pt idx="0">
                  <c:v>-90</c:v>
                </c:pt>
                <c:pt idx="1">
                  <c:v>-90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2C-4F78-A65F-9FD8493F4D14}"/>
            </c:ext>
          </c:extLst>
        </c:ser>
        <c:ser>
          <c:idx val="5"/>
          <c:order val="5"/>
          <c:tx>
            <c:v>Horizontal réel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('1° ordre'!$J$10,'1° ordre'!$C$24)</c:f>
              <c:numCache>
                <c:formatCode>General</c:formatCode>
                <c:ptCount val="2"/>
                <c:pt idx="0" formatCode="0.0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('1° ordre'!$L$30,'1° ordre'!$L$30)</c:f>
              <c:numCache>
                <c:formatCode>0.00</c:formatCode>
                <c:ptCount val="2"/>
                <c:pt idx="0">
                  <c:v>-84.289406862500371</c:v>
                </c:pt>
                <c:pt idx="1">
                  <c:v>-84.289406862500371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22C-4F78-A65F-9FD8493F4D14}"/>
            </c:ext>
          </c:extLst>
        </c:ser>
        <c:ser>
          <c:idx val="3"/>
          <c:order val="6"/>
          <c:tx>
            <c:v>Vertical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rgbClr val="FF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22C-4F78-A65F-9FD8493F4D14}"/>
              </c:ext>
            </c:extLst>
          </c:dPt>
          <c:xVal>
            <c:numRef>
              <c:f>('1° ordre'!$C$24,'1° ordre'!$C$24)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('1° ordre'!$C$34,'1° ordre'!$C$35)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-90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22C-4F78-A65F-9FD8493F4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684856"/>
        <c:axId val="455684072"/>
      </c:scatterChart>
      <c:valAx>
        <c:axId val="45568485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5684072"/>
        <c:crosses val="autoZero"/>
        <c:crossBetween val="midCat"/>
      </c:valAx>
      <c:valAx>
        <c:axId val="455684072"/>
        <c:scaling>
          <c:orientation val="minMax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5684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Phase asymptotique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('2° ordre'!$D$22,'2° ordre'!$F$22,'2° ordre'!$H$22,'2° ordre'!$J$22,'2° ordre'!$L$22,'2° ordre'!$N$22)</c:f>
              <c:numCache>
                <c:formatCode>0.00</c:formatCode>
                <c:ptCount val="6"/>
                <c:pt idx="0">
                  <c:v>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10000</c:v>
                </c:pt>
              </c:numCache>
            </c:numRef>
          </c:xVal>
          <c:yVal>
            <c:numRef>
              <c:f>('2° ordre'!$D$23,'2° ordre'!$F$23,'2° ordre'!$H$23,'2° ordre'!$J$23,'2° ordre'!$L$23,'2° ordre'!$N$23)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-90</c:v>
                </c:pt>
                <c:pt idx="3">
                  <c:v>-90</c:v>
                </c:pt>
                <c:pt idx="4">
                  <c:v>-180</c:v>
                </c:pt>
                <c:pt idx="5">
                  <c:v>-180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5C-4CEC-BC98-907EED0172F1}"/>
            </c:ext>
          </c:extLst>
        </c:ser>
        <c:ser>
          <c:idx val="1"/>
          <c:order val="1"/>
          <c:tx>
            <c:v>Phase Réelle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'2° ordre'!$D$43:$D$98</c:f>
              <c:numCache>
                <c:formatCode>0.00</c:formatCode>
                <c:ptCount val="56"/>
                <c:pt idx="0">
                  <c:v>1</c:v>
                </c:pt>
                <c:pt idx="1">
                  <c:v>1.2067926406393286</c:v>
                </c:pt>
                <c:pt idx="2">
                  <c:v>1.4563484775012439</c:v>
                </c:pt>
                <c:pt idx="3">
                  <c:v>1.757510624854792</c:v>
                </c:pt>
                <c:pt idx="4">
                  <c:v>2.1209508879201908</c:v>
                </c:pt>
                <c:pt idx="5">
                  <c:v>2.5595479226995357</c:v>
                </c:pt>
                <c:pt idx="6">
                  <c:v>3.088843596477481</c:v>
                </c:pt>
                <c:pt idx="7">
                  <c:v>3.7275937203149403</c:v>
                </c:pt>
                <c:pt idx="8">
                  <c:v>4.4984326689694463</c:v>
                </c:pt>
                <c:pt idx="9">
                  <c:v>5.4286754393238601</c:v>
                </c:pt>
                <c:pt idx="10">
                  <c:v>6.5512855685955085</c:v>
                </c:pt>
                <c:pt idx="11">
                  <c:v>7.9060432109076979</c:v>
                </c:pt>
                <c:pt idx="12">
                  <c:v>9.5409547634999381</c:v>
                </c:pt>
                <c:pt idx="13">
                  <c:v>11.513953993264472</c:v>
                </c:pt>
                <c:pt idx="14">
                  <c:v>13.894954943731378</c:v>
                </c:pt>
                <c:pt idx="15">
                  <c:v>16.768329368110084</c:v>
                </c:pt>
                <c:pt idx="16">
                  <c:v>20.235896477251586</c:v>
                </c:pt>
                <c:pt idx="17">
                  <c:v>24.420530945486529</c:v>
                </c:pt>
                <c:pt idx="18">
                  <c:v>29.470517025518134</c:v>
                </c:pt>
                <c:pt idx="19">
                  <c:v>35.564803062231341</c:v>
                </c:pt>
                <c:pt idx="20">
                  <c:v>42.919342601287845</c:v>
                </c:pt>
                <c:pt idx="21">
                  <c:v>51.794746792312196</c:v>
                </c:pt>
                <c:pt idx="22">
                  <c:v>62.505519252739866</c:v>
                </c:pt>
                <c:pt idx="23">
                  <c:v>75.431200633546311</c:v>
                </c:pt>
                <c:pt idx="24">
                  <c:v>91.029817799152397</c:v>
                </c:pt>
                <c:pt idx="25">
                  <c:v>109.85411419875615</c:v>
                </c:pt>
                <c:pt idx="26">
                  <c:v>132.57113655901125</c:v>
                </c:pt>
                <c:pt idx="27">
                  <c:v>159.98587196060632</c:v>
                </c:pt>
                <c:pt idx="28">
                  <c:v>193.06977288832573</c:v>
                </c:pt>
                <c:pt idx="29">
                  <c:v>232.99518105153797</c:v>
                </c:pt>
                <c:pt idx="30">
                  <c:v>281.17686979742416</c:v>
                </c:pt>
                <c:pt idx="31">
                  <c:v>339.32217718953405</c:v>
                </c:pt>
                <c:pt idx="32">
                  <c:v>409.49150623804417</c:v>
                </c:pt>
                <c:pt idx="33">
                  <c:v>494.1713361323857</c:v>
                </c:pt>
                <c:pt idx="34">
                  <c:v>596.3623316594668</c:v>
                </c:pt>
                <c:pt idx="35">
                  <c:v>719.68567300115546</c:v>
                </c:pt>
                <c:pt idx="36">
                  <c:v>868.51137375135727</c:v>
                </c:pt>
                <c:pt idx="37">
                  <c:v>1048.1131341546909</c:v>
                </c:pt>
                <c:pt idx="38">
                  <c:v>1264.8552168553031</c:v>
                </c:pt>
                <c:pt idx="39">
                  <c:v>1526.4179671752427</c:v>
                </c:pt>
                <c:pt idx="40">
                  <c:v>1842.0699693267266</c:v>
                </c:pt>
                <c:pt idx="41">
                  <c:v>2222.9964825262086</c:v>
                </c:pt>
                <c:pt idx="42">
                  <c:v>2682.6957952797443</c:v>
                </c:pt>
                <c:pt idx="43">
                  <c:v>3237.4575428176649</c:v>
                </c:pt>
                <c:pt idx="44">
                  <c:v>3906.9399370546412</c:v>
                </c:pt>
                <c:pt idx="45">
                  <c:v>4714.8663634574295</c:v>
                </c:pt>
                <c:pt idx="46">
                  <c:v>5689.8660290183379</c:v>
                </c:pt>
                <c:pt idx="47">
                  <c:v>6866.488450043048</c:v>
                </c:pt>
                <c:pt idx="48">
                  <c:v>8286.4277285469125</c:v>
                </c:pt>
                <c:pt idx="49">
                  <c:v>10000.000000000009</c:v>
                </c:pt>
              </c:numCache>
            </c:numRef>
          </c:xVal>
          <c:yVal>
            <c:numRef>
              <c:f>'2° ordre'!$J$43:$J$98</c:f>
              <c:numCache>
                <c:formatCode>0.00</c:formatCode>
                <c:ptCount val="56"/>
                <c:pt idx="0">
                  <c:v>-0.57299599346298502</c:v>
                </c:pt>
                <c:pt idx="1">
                  <c:v>-0.69150838545452997</c:v>
                </c:pt>
                <c:pt idx="2">
                  <c:v>-0.83454420525146289</c:v>
                </c:pt>
                <c:pt idx="3">
                  <c:v>-1.0071867918735955</c:v>
                </c:pt>
                <c:pt idx="4">
                  <c:v>-1.2155798311164816</c:v>
                </c:pt>
                <c:pt idx="5">
                  <c:v>-1.4671535631476631</c:v>
                </c:pt>
                <c:pt idx="6">
                  <c:v>-1.7709030293571049</c:v>
                </c:pt>
                <c:pt idx="7">
                  <c:v>-2.1377331166086377</c:v>
                </c:pt>
                <c:pt idx="8">
                  <c:v>-2.5808912542663052</c:v>
                </c:pt>
                <c:pt idx="9">
                  <c:v>-3.1165183117727215</c:v>
                </c:pt>
                <c:pt idx="10">
                  <c:v>-3.7643640860924492</c:v>
                </c:pt>
                <c:pt idx="11">
                  <c:v>-4.54874027691198</c:v>
                </c:pt>
                <c:pt idx="12">
                  <c:v>-5.499829094659999</c:v>
                </c:pt>
                <c:pt idx="13">
                  <c:v>-6.6555442096974877</c:v>
                </c:pt>
                <c:pt idx="14">
                  <c:v>-8.064279270427992</c:v>
                </c:pt>
                <c:pt idx="15">
                  <c:v>-9.7891269449287819</c:v>
                </c:pt>
                <c:pt idx="16">
                  <c:v>-11.914600104720899</c:v>
                </c:pt>
                <c:pt idx="17">
                  <c:v>-14.557705935342529</c:v>
                </c:pt>
                <c:pt idx="18">
                  <c:v>-17.886710669149341</c:v>
                </c:pt>
                <c:pt idx="19">
                  <c:v>-22.153505103304312</c:v>
                </c:pt>
                <c:pt idx="20">
                  <c:v>-27.749117899673742</c:v>
                </c:pt>
                <c:pt idx="21">
                  <c:v>-35.29235597024627</c:v>
                </c:pt>
                <c:pt idx="22">
                  <c:v>-45.730995872146046</c:v>
                </c:pt>
                <c:pt idx="23">
                  <c:v>-60.256380457081995</c:v>
                </c:pt>
                <c:pt idx="24">
                  <c:v>-79.339227292442047</c:v>
                </c:pt>
                <c:pt idx="25">
                  <c:v>-100.66077270755855</c:v>
                </c:pt>
                <c:pt idx="26">
                  <c:v>-119.74361954291842</c:v>
                </c:pt>
                <c:pt idx="27">
                  <c:v>-134.26900412785432</c:v>
                </c:pt>
                <c:pt idx="28">
                  <c:v>-144.70764402975396</c:v>
                </c:pt>
                <c:pt idx="29">
                  <c:v>-152.25088210032644</c:v>
                </c:pt>
                <c:pt idx="30">
                  <c:v>-157.84649489669579</c:v>
                </c:pt>
                <c:pt idx="31">
                  <c:v>-162.11328933085076</c:v>
                </c:pt>
                <c:pt idx="32">
                  <c:v>-165.44229406465757</c:v>
                </c:pt>
                <c:pt idx="33">
                  <c:v>-168.08539989527921</c:v>
                </c:pt>
                <c:pt idx="34">
                  <c:v>-170.21087305507135</c:v>
                </c:pt>
                <c:pt idx="35">
                  <c:v>-171.93572072957204</c:v>
                </c:pt>
                <c:pt idx="36">
                  <c:v>-173.34445579030259</c:v>
                </c:pt>
                <c:pt idx="37">
                  <c:v>-174.50017090533996</c:v>
                </c:pt>
                <c:pt idx="38">
                  <c:v>-175.4512597230881</c:v>
                </c:pt>
                <c:pt idx="39">
                  <c:v>-176.23563591390746</c:v>
                </c:pt>
                <c:pt idx="40">
                  <c:v>-176.88348168822714</c:v>
                </c:pt>
                <c:pt idx="41">
                  <c:v>-177.41910874573355</c:v>
                </c:pt>
                <c:pt idx="42">
                  <c:v>-177.86226688339153</c:v>
                </c:pt>
                <c:pt idx="43">
                  <c:v>-178.22909697064287</c:v>
                </c:pt>
                <c:pt idx="44">
                  <c:v>-178.53284643685231</c:v>
                </c:pt>
                <c:pt idx="45">
                  <c:v>-178.78442016888383</c:v>
                </c:pt>
                <c:pt idx="46">
                  <c:v>-178.99281320812534</c:v>
                </c:pt>
                <c:pt idx="47">
                  <c:v>-179.16545579474896</c:v>
                </c:pt>
                <c:pt idx="48">
                  <c:v>-179.30849161454546</c:v>
                </c:pt>
                <c:pt idx="49">
                  <c:v>-179.42700400653638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5C-4CEC-BC98-907EED01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3424"/>
        <c:axId val="236290288"/>
      </c:scatterChart>
      <c:valAx>
        <c:axId val="236293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0288"/>
        <c:crosses val="autoZero"/>
        <c:crossBetween val="midCat"/>
      </c:valAx>
      <c:valAx>
        <c:axId val="236290288"/>
        <c:scaling>
          <c:orientation val="minMax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Entrée - Sortie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Entrée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'2° ordre'!$R$61:$R$110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2.564565431501872E-2</c:v>
                </c:pt>
                <c:pt idx="2">
                  <c:v>5.129130863003744E-2</c:v>
                </c:pt>
                <c:pt idx="3">
                  <c:v>7.6936962945056156E-2</c:v>
                </c:pt>
                <c:pt idx="4">
                  <c:v>0.10258261726007488</c:v>
                </c:pt>
                <c:pt idx="5">
                  <c:v>0.12822827157509359</c:v>
                </c:pt>
                <c:pt idx="6">
                  <c:v>0.15387392589011231</c:v>
                </c:pt>
                <c:pt idx="7">
                  <c:v>0.17951958020513104</c:v>
                </c:pt>
                <c:pt idx="8">
                  <c:v>0.20516523452014976</c:v>
                </c:pt>
                <c:pt idx="9">
                  <c:v>0.23081088883516848</c:v>
                </c:pt>
                <c:pt idx="10">
                  <c:v>0.25645654315018718</c:v>
                </c:pt>
                <c:pt idx="11">
                  <c:v>0.28210219746520587</c:v>
                </c:pt>
                <c:pt idx="12">
                  <c:v>0.30774785178022457</c:v>
                </c:pt>
                <c:pt idx="13">
                  <c:v>0.33339350609524326</c:v>
                </c:pt>
                <c:pt idx="14">
                  <c:v>0.35903916041026196</c:v>
                </c:pt>
                <c:pt idx="15">
                  <c:v>0.38468481472528065</c:v>
                </c:pt>
                <c:pt idx="16">
                  <c:v>0.41033046904029935</c:v>
                </c:pt>
                <c:pt idx="17">
                  <c:v>0.43597612335531805</c:v>
                </c:pt>
                <c:pt idx="18">
                  <c:v>0.46162177767033674</c:v>
                </c:pt>
                <c:pt idx="19">
                  <c:v>0.48726743198535544</c:v>
                </c:pt>
                <c:pt idx="20">
                  <c:v>0.51291308630037413</c:v>
                </c:pt>
                <c:pt idx="21">
                  <c:v>0.53855874061539288</c:v>
                </c:pt>
                <c:pt idx="22">
                  <c:v>0.56420439493041163</c:v>
                </c:pt>
                <c:pt idx="23">
                  <c:v>0.58985004924543039</c:v>
                </c:pt>
                <c:pt idx="24">
                  <c:v>0.61549570356044914</c:v>
                </c:pt>
                <c:pt idx="25">
                  <c:v>0.64114135787546789</c:v>
                </c:pt>
                <c:pt idx="26">
                  <c:v>0.66678701219048664</c:v>
                </c:pt>
                <c:pt idx="27">
                  <c:v>0.69243266650550539</c:v>
                </c:pt>
                <c:pt idx="28">
                  <c:v>0.71807832082052414</c:v>
                </c:pt>
                <c:pt idx="29">
                  <c:v>0.74372397513554289</c:v>
                </c:pt>
                <c:pt idx="30">
                  <c:v>0.76936962945056164</c:v>
                </c:pt>
                <c:pt idx="31">
                  <c:v>0.79501528376558039</c:v>
                </c:pt>
                <c:pt idx="32">
                  <c:v>0.82066093808059914</c:v>
                </c:pt>
                <c:pt idx="33">
                  <c:v>0.8463065923956179</c:v>
                </c:pt>
                <c:pt idx="34">
                  <c:v>0.87195224671063665</c:v>
                </c:pt>
                <c:pt idx="35">
                  <c:v>0.8975979010256554</c:v>
                </c:pt>
                <c:pt idx="36">
                  <c:v>0.92324355534067415</c:v>
                </c:pt>
                <c:pt idx="37">
                  <c:v>0.9488892096556929</c:v>
                </c:pt>
                <c:pt idx="38">
                  <c:v>0.97453486397071165</c:v>
                </c:pt>
                <c:pt idx="39">
                  <c:v>1.0001805182857304</c:v>
                </c:pt>
                <c:pt idx="40">
                  <c:v>1.0258261726007492</c:v>
                </c:pt>
                <c:pt idx="41">
                  <c:v>1.0514718269157679</c:v>
                </c:pt>
                <c:pt idx="42">
                  <c:v>1.0771174812307867</c:v>
                </c:pt>
                <c:pt idx="43">
                  <c:v>1.1027631355458054</c:v>
                </c:pt>
                <c:pt idx="44">
                  <c:v>1.1284087898608242</c:v>
                </c:pt>
                <c:pt idx="45">
                  <c:v>1.1540544441758429</c:v>
                </c:pt>
                <c:pt idx="46">
                  <c:v>1.1797000984908617</c:v>
                </c:pt>
                <c:pt idx="47">
                  <c:v>1.2053457528058804</c:v>
                </c:pt>
                <c:pt idx="48">
                  <c:v>1.2309914071208992</c:v>
                </c:pt>
                <c:pt idx="49">
                  <c:v>1.2566370614359172</c:v>
                </c:pt>
              </c:numCache>
            </c:numRef>
          </c:xVal>
          <c:yVal>
            <c:numRef>
              <c:f>'2° ordre'!$S$61:$S$110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2.5365458390950737</c:v>
                </c:pt>
                <c:pt idx="2">
                  <c:v>4.9071755200393783</c:v>
                </c:pt>
                <c:pt idx="3">
                  <c:v>6.956825506034864</c:v>
                </c:pt>
                <c:pt idx="4">
                  <c:v>8.5514276300534604</c:v>
                </c:pt>
                <c:pt idx="5">
                  <c:v>9.5866785303666049</c:v>
                </c:pt>
                <c:pt idx="6">
                  <c:v>9.9948621620068785</c:v>
                </c:pt>
                <c:pt idx="7">
                  <c:v>9.7492791218182369</c:v>
                </c:pt>
                <c:pt idx="8">
                  <c:v>8.8659930637300004</c:v>
                </c:pt>
                <c:pt idx="9">
                  <c:v>7.402779970753155</c:v>
                </c:pt>
                <c:pt idx="10">
                  <c:v>5.4553490121054899</c:v>
                </c:pt>
                <c:pt idx="11">
                  <c:v>3.1510821802362128</c:v>
                </c:pt>
                <c:pt idx="12">
                  <c:v>0.64070219980713672</c:v>
                </c:pt>
                <c:pt idx="13">
                  <c:v>-1.9115862870137144</c:v>
                </c:pt>
                <c:pt idx="14">
                  <c:v>-4.3388373911755718</c:v>
                </c:pt>
                <c:pt idx="15">
                  <c:v>-6.4822839530778715</c:v>
                </c:pt>
                <c:pt idx="16">
                  <c:v>-8.2017225459695471</c:v>
                </c:pt>
                <c:pt idx="17">
                  <c:v>-9.3846842204975953</c:v>
                </c:pt>
                <c:pt idx="18">
                  <c:v>-9.9537911294919805</c:v>
                </c:pt>
                <c:pt idx="19">
                  <c:v>-9.8718178341445046</c:v>
                </c:pt>
                <c:pt idx="20">
                  <c:v>-9.1441262301581361</c:v>
                </c:pt>
                <c:pt idx="21">
                  <c:v>-7.8183148246803107</c:v>
                </c:pt>
                <c:pt idx="22">
                  <c:v>-5.9811053049121767</c:v>
                </c:pt>
                <c:pt idx="23">
                  <c:v>-3.7526700487937625</c:v>
                </c:pt>
                <c:pt idx="24">
                  <c:v>-1.2787716168450749</c:v>
                </c:pt>
                <c:pt idx="25">
                  <c:v>1.2787716168450525</c:v>
                </c:pt>
                <c:pt idx="26">
                  <c:v>3.7526700487937332</c:v>
                </c:pt>
                <c:pt idx="27">
                  <c:v>5.981105304912151</c:v>
                </c:pt>
                <c:pt idx="28">
                  <c:v>7.8183148246802956</c:v>
                </c:pt>
                <c:pt idx="29">
                  <c:v>9.1441262301581272</c:v>
                </c:pt>
                <c:pt idx="30">
                  <c:v>9.8718178341445011</c:v>
                </c:pt>
                <c:pt idx="31">
                  <c:v>9.9537911294919823</c:v>
                </c:pt>
                <c:pt idx="32">
                  <c:v>9.3846842204976006</c:v>
                </c:pt>
                <c:pt idx="33">
                  <c:v>8.2017225459695489</c:v>
                </c:pt>
                <c:pt idx="34">
                  <c:v>6.4822839530778786</c:v>
                </c:pt>
                <c:pt idx="35">
                  <c:v>4.3388373911755682</c:v>
                </c:pt>
                <c:pt idx="36">
                  <c:v>1.9115862870137015</c:v>
                </c:pt>
                <c:pt idx="37">
                  <c:v>-0.64070219980715837</c:v>
                </c:pt>
                <c:pt idx="38">
                  <c:v>-3.1510821802362416</c:v>
                </c:pt>
                <c:pt idx="39">
                  <c:v>-5.4553490121055095</c:v>
                </c:pt>
                <c:pt idx="40">
                  <c:v>-7.4027799707531781</c:v>
                </c:pt>
                <c:pt idx="41">
                  <c:v>-8.8659930637300199</c:v>
                </c:pt>
                <c:pt idx="42">
                  <c:v>-9.7492791218182422</c:v>
                </c:pt>
                <c:pt idx="43">
                  <c:v>-9.9948621620068785</c:v>
                </c:pt>
                <c:pt idx="44">
                  <c:v>-9.5866785303665942</c:v>
                </c:pt>
                <c:pt idx="45">
                  <c:v>-8.5514276300534338</c:v>
                </c:pt>
                <c:pt idx="46">
                  <c:v>-6.9568255060348196</c:v>
                </c:pt>
                <c:pt idx="47">
                  <c:v>-4.9071755200393339</c:v>
                </c:pt>
                <c:pt idx="48">
                  <c:v>-2.5365458390950173</c:v>
                </c:pt>
                <c:pt idx="49">
                  <c:v>-4.90059381963448E-15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A7-4170-9037-02539195599C}"/>
            </c:ext>
          </c:extLst>
        </c:ser>
        <c:ser>
          <c:idx val="1"/>
          <c:order val="1"/>
          <c:tx>
            <c:v>Sortie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'2° ordre'!$R$61:$R$110</c:f>
              <c:numCache>
                <c:formatCode>0.00</c:formatCode>
                <c:ptCount val="50"/>
                <c:pt idx="0" formatCode="General">
                  <c:v>0</c:v>
                </c:pt>
                <c:pt idx="1">
                  <c:v>2.564565431501872E-2</c:v>
                </c:pt>
                <c:pt idx="2">
                  <c:v>5.129130863003744E-2</c:v>
                </c:pt>
                <c:pt idx="3">
                  <c:v>7.6936962945056156E-2</c:v>
                </c:pt>
                <c:pt idx="4">
                  <c:v>0.10258261726007488</c:v>
                </c:pt>
                <c:pt idx="5">
                  <c:v>0.12822827157509359</c:v>
                </c:pt>
                <c:pt idx="6">
                  <c:v>0.15387392589011231</c:v>
                </c:pt>
                <c:pt idx="7">
                  <c:v>0.17951958020513104</c:v>
                </c:pt>
                <c:pt idx="8">
                  <c:v>0.20516523452014976</c:v>
                </c:pt>
                <c:pt idx="9">
                  <c:v>0.23081088883516848</c:v>
                </c:pt>
                <c:pt idx="10">
                  <c:v>0.25645654315018718</c:v>
                </c:pt>
                <c:pt idx="11">
                  <c:v>0.28210219746520587</c:v>
                </c:pt>
                <c:pt idx="12">
                  <c:v>0.30774785178022457</c:v>
                </c:pt>
                <c:pt idx="13">
                  <c:v>0.33339350609524326</c:v>
                </c:pt>
                <c:pt idx="14">
                  <c:v>0.35903916041026196</c:v>
                </c:pt>
                <c:pt idx="15">
                  <c:v>0.38468481472528065</c:v>
                </c:pt>
                <c:pt idx="16">
                  <c:v>0.41033046904029935</c:v>
                </c:pt>
                <c:pt idx="17">
                  <c:v>0.43597612335531805</c:v>
                </c:pt>
                <c:pt idx="18">
                  <c:v>0.46162177767033674</c:v>
                </c:pt>
                <c:pt idx="19">
                  <c:v>0.48726743198535544</c:v>
                </c:pt>
                <c:pt idx="20">
                  <c:v>0.51291308630037413</c:v>
                </c:pt>
                <c:pt idx="21">
                  <c:v>0.53855874061539288</c:v>
                </c:pt>
                <c:pt idx="22">
                  <c:v>0.56420439493041163</c:v>
                </c:pt>
                <c:pt idx="23">
                  <c:v>0.58985004924543039</c:v>
                </c:pt>
                <c:pt idx="24">
                  <c:v>0.61549570356044914</c:v>
                </c:pt>
                <c:pt idx="25">
                  <c:v>0.64114135787546789</c:v>
                </c:pt>
                <c:pt idx="26">
                  <c:v>0.66678701219048664</c:v>
                </c:pt>
                <c:pt idx="27">
                  <c:v>0.69243266650550539</c:v>
                </c:pt>
                <c:pt idx="28">
                  <c:v>0.71807832082052414</c:v>
                </c:pt>
                <c:pt idx="29">
                  <c:v>0.74372397513554289</c:v>
                </c:pt>
                <c:pt idx="30">
                  <c:v>0.76936962945056164</c:v>
                </c:pt>
                <c:pt idx="31">
                  <c:v>0.79501528376558039</c:v>
                </c:pt>
                <c:pt idx="32">
                  <c:v>0.82066093808059914</c:v>
                </c:pt>
                <c:pt idx="33">
                  <c:v>0.8463065923956179</c:v>
                </c:pt>
                <c:pt idx="34">
                  <c:v>0.87195224671063665</c:v>
                </c:pt>
                <c:pt idx="35">
                  <c:v>0.8975979010256554</c:v>
                </c:pt>
                <c:pt idx="36">
                  <c:v>0.92324355534067415</c:v>
                </c:pt>
                <c:pt idx="37">
                  <c:v>0.9488892096556929</c:v>
                </c:pt>
                <c:pt idx="38">
                  <c:v>0.97453486397071165</c:v>
                </c:pt>
                <c:pt idx="39">
                  <c:v>1.0001805182857304</c:v>
                </c:pt>
                <c:pt idx="40">
                  <c:v>1.0258261726007492</c:v>
                </c:pt>
                <c:pt idx="41">
                  <c:v>1.0514718269157679</c:v>
                </c:pt>
                <c:pt idx="42">
                  <c:v>1.0771174812307867</c:v>
                </c:pt>
                <c:pt idx="43">
                  <c:v>1.1027631355458054</c:v>
                </c:pt>
                <c:pt idx="44">
                  <c:v>1.1284087898608242</c:v>
                </c:pt>
                <c:pt idx="45">
                  <c:v>1.1540544441758429</c:v>
                </c:pt>
                <c:pt idx="46">
                  <c:v>1.1797000984908617</c:v>
                </c:pt>
                <c:pt idx="47">
                  <c:v>1.2053457528058804</c:v>
                </c:pt>
                <c:pt idx="48">
                  <c:v>1.2309914071208992</c:v>
                </c:pt>
                <c:pt idx="49">
                  <c:v>1.2566370614359172</c:v>
                </c:pt>
              </c:numCache>
            </c:numRef>
          </c:xVal>
          <c:yVal>
            <c:numRef>
              <c:f>'2° ordre'!$T$61:$T$110</c:f>
              <c:numCache>
                <c:formatCode>0.00</c:formatCode>
                <c:ptCount val="50"/>
                <c:pt idx="0">
                  <c:v>-100.99989900010029</c:v>
                </c:pt>
                <c:pt idx="1">
                  <c:v>155.93228135189383</c:v>
                </c:pt>
                <c:pt idx="2">
                  <c:v>402.66488846738736</c:v>
                </c:pt>
                <c:pt idx="3">
                  <c:v>623.0590749294812</c:v>
                </c:pt>
                <c:pt idx="4">
                  <c:v>802.69879663088636</c:v>
                </c:pt>
                <c:pt idx="5">
                  <c:v>929.83377016785278</c:v>
                </c:pt>
                <c:pt idx="6">
                  <c:v>996.14806209626875</c:v>
                </c:pt>
                <c:pt idx="7">
                  <c:v>997.30403641615669</c:v>
                </c:pt>
                <c:pt idx="8">
                  <c:v>933.22608053060651</c:v>
                </c:pt>
                <c:pt idx="9">
                  <c:v>808.10555108644962</c:v>
                </c:pt>
                <c:pt idx="10">
                  <c:v>630.12661618788707</c:v>
                </c:pt>
                <c:pt idx="11">
                  <c:v>410.93092671896886</c:v>
                </c:pt>
                <c:pt idx="12">
                  <c:v>164.85613277036586</c:v>
                </c:pt>
                <c:pt idx="13">
                  <c:v>-92.001945980458657</c:v>
                </c:pt>
                <c:pt idx="14">
                  <c:v>-342.84215224334974</c:v>
                </c:pt>
                <c:pt idx="15">
                  <c:v>-571.25695941601475</c:v>
                </c:pt>
                <c:pt idx="16">
                  <c:v>-762.30569239346391</c:v>
                </c:pt>
                <c:pt idx="17">
                  <c:v>-903.49180121920165</c:v>
                </c:pt>
                <c:pt idx="18">
                  <c:v>-985.58026384096343</c:v>
                </c:pt>
                <c:pt idx="19">
                  <c:v>-1003.2016514328288</c:v>
                </c:pt>
                <c:pt idx="20">
                  <c:v>-955.20334420552922</c:v>
                </c:pt>
                <c:pt idx="21">
                  <c:v>-844.72492458259114</c:v>
                </c:pt>
                <c:pt idx="22">
                  <c:v>-678.99281625401511</c:v>
                </c:pt>
                <c:pt idx="23">
                  <c:v>-468.84760182323379</c:v>
                </c:pt>
                <c:pt idx="24">
                  <c:v>-228.03493732954865</c:v>
                </c:pt>
                <c:pt idx="25">
                  <c:v>27.693554878635023</c:v>
                </c:pt>
                <c:pt idx="26">
                  <c:v>281.61060407633403</c:v>
                </c:pt>
                <c:pt idx="27">
                  <c:v>517.10742652207671</c:v>
                </c:pt>
                <c:pt idx="28">
                  <c:v>718.78011055194088</c:v>
                </c:pt>
                <c:pt idx="29">
                  <c:v>873.43719066095923</c:v>
                </c:pt>
                <c:pt idx="30">
                  <c:v>970.96250487523298</c:v>
                </c:pt>
                <c:pt idx="31">
                  <c:v>1004.9768956776836</c:v>
                </c:pt>
                <c:pt idx="32">
                  <c:v>973.25547244863492</c:v>
                </c:pt>
                <c:pt idx="33">
                  <c:v>877.8731421706924</c:v>
                </c:pt>
                <c:pt idx="34">
                  <c:v>725.06888919465064</c:v>
                </c:pt>
                <c:pt idx="35">
                  <c:v>524.83768156410792</c:v>
                </c:pt>
                <c:pt idx="36">
                  <c:v>290.27669741790021</c:v>
                </c:pt>
                <c:pt idx="37">
                  <c:v>36.728634980431131</c:v>
                </c:pt>
                <c:pt idx="38">
                  <c:v>-219.22185753188697</c:v>
                </c:pt>
                <c:pt idx="39">
                  <c:v>-460.83298829336587</c:v>
                </c:pt>
                <c:pt idx="40">
                  <c:v>-672.3009070583106</c:v>
                </c:pt>
                <c:pt idx="41">
                  <c:v>-839.79343933460143</c:v>
                </c:pt>
                <c:pt idx="42">
                  <c:v>-952.35485270616618</c:v>
                </c:pt>
                <c:pt idx="43">
                  <c:v>-1002.6224742913311</c:v>
                </c:pt>
                <c:pt idx="44">
                  <c:v>-987.30828519280522</c:v>
                </c:pt>
                <c:pt idx="45">
                  <c:v>-907.41399071441572</c:v>
                </c:pt>
                <c:pt idx="46">
                  <c:v>-768.16549854279401</c:v>
                </c:pt>
                <c:pt idx="47">
                  <c:v>-578.67109069410492</c:v>
                </c:pt>
                <c:pt idx="48">
                  <c:v>-351.32564829240454</c:v>
                </c:pt>
                <c:pt idx="49">
                  <c:v>-100.99989900010144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A7-4170-9037-02539195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299304"/>
        <c:axId val="236295384"/>
      </c:scatterChart>
      <c:valAx>
        <c:axId val="236299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5384"/>
        <c:crosses val="autoZero"/>
        <c:crossBetween val="midCat"/>
      </c:valAx>
      <c:valAx>
        <c:axId val="23629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299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5</xdr:row>
      <xdr:rowOff>57150</xdr:rowOff>
    </xdr:from>
    <xdr:to>
      <xdr:col>4</xdr:col>
      <xdr:colOff>523875</xdr:colOff>
      <xdr:row>12</xdr:row>
      <xdr:rowOff>100852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1038225" y="1054474"/>
              <a:ext cx="2679326" cy="144443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</m:t>
                    </m:r>
                    <m:sSup>
                      <m:sSup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p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sup>
                    </m:sSup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𝑣𝑠</m:t>
                    </m:r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𝑤𝑒</m:t>
                    </m:r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</m:oMath>
                </m:oMathPara>
              </a14:m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𝑇𝑝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1038225" y="1054474"/>
              <a:ext cx="2679326" cy="144443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𝑢𝑠^′ (𝑡)+𝑣𝑠(𝑡)=𝑤𝑒(𝑡)</a:t>
              </a:r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𝐻(𝑝)=𝐾/(1+𝑇𝑝)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13</xdr:col>
      <xdr:colOff>196664</xdr:colOff>
      <xdr:row>0</xdr:row>
      <xdr:rowOff>56027</xdr:rowOff>
    </xdr:from>
    <xdr:to>
      <xdr:col>21</xdr:col>
      <xdr:colOff>688602</xdr:colOff>
      <xdr:row>19</xdr:row>
      <xdr:rowOff>94128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206088</xdr:colOff>
      <xdr:row>19</xdr:row>
      <xdr:rowOff>133452</xdr:rowOff>
    </xdr:from>
    <xdr:to>
      <xdr:col>21</xdr:col>
      <xdr:colOff>755176</xdr:colOff>
      <xdr:row>38</xdr:row>
      <xdr:rowOff>130040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726621</xdr:colOff>
      <xdr:row>20</xdr:row>
      <xdr:rowOff>19049</xdr:rowOff>
    </xdr:from>
    <xdr:to>
      <xdr:col>5</xdr:col>
      <xdr:colOff>212271</xdr:colOff>
      <xdr:row>21</xdr:row>
      <xdr:rowOff>174170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1488621" y="3962399"/>
              <a:ext cx="2676525" cy="34562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000" b="0"/>
                <a:t>e</a:t>
              </a:r>
              <a14:m>
                <m:oMath xmlns:m="http://schemas.openxmlformats.org/officeDocument/2006/math">
                  <m:d>
                    <m:d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20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</m:d>
                  <m:r>
                    <a:rPr lang="fr-FR" sz="2000" b="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2000" b="0" i="1">
                          <a:latin typeface="Cambria Math" panose="02040503050406030204" pitchFamily="18" charset="0"/>
                        </a:rPr>
                        <m:t>𝑒</m:t>
                      </m:r>
                    </m:e>
                    <m:sub>
                      <m:r>
                        <a:rPr lang="fr-FR" sz="20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func>
                    <m:func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fr-FR" sz="2000" b="0" i="0">
                          <a:latin typeface="Cambria Math" panose="02040503050406030204" pitchFamily="18" charset="0"/>
                        </a:rPr>
                        <m:t>sin</m:t>
                      </m:r>
                    </m:fName>
                    <m:e>
                      <m:d>
                        <m:dPr>
                          <m:ctrlPr>
                            <a:rPr lang="fr-FR" sz="2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fr-FR" sz="20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𝜔</m:t>
                          </m:r>
                          <m:r>
                            <a:rPr lang="fr-FR" sz="20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</m:d>
                    </m:e>
                  </m:fun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1488621" y="3962399"/>
              <a:ext cx="2676525" cy="345621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000" b="0"/>
                <a:t>e</a:t>
              </a:r>
              <a:r>
                <a:rPr lang="fr-FR" sz="2000" b="0" i="0">
                  <a:latin typeface="Cambria Math" panose="02040503050406030204" pitchFamily="18" charset="0"/>
                </a:rPr>
                <a:t>(𝑡)=𝑒_0  sin⁡(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𝜔𝑡)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8</xdr:col>
      <xdr:colOff>20411</xdr:colOff>
      <xdr:row>20</xdr:row>
      <xdr:rowOff>19050</xdr:rowOff>
    </xdr:from>
    <xdr:to>
      <xdr:col>11</xdr:col>
      <xdr:colOff>268061</xdr:colOff>
      <xdr:row>21</xdr:row>
      <xdr:rowOff>161926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/>
            <xdr:cNvSpPr txBox="1"/>
          </xdr:nvSpPr>
          <xdr:spPr>
            <a:xfrm>
              <a:off x="6259286" y="3962400"/>
              <a:ext cx="2533650" cy="33337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fr-FR" sz="2000" b="0" i="1">
                        <a:latin typeface="Cambria Math" panose="02040503050406030204" pitchFamily="18" charset="0"/>
                      </a:rPr>
                      <m:t>𝑠</m:t>
                    </m:r>
                    <m:d>
                      <m:d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fr-FR" sz="2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func>
                      <m:func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2000" b="0" i="0">
                            <a:latin typeface="Cambria Math" panose="02040503050406030204" pitchFamily="18" charset="0"/>
                          </a:rPr>
                          <m:t>sin</m:t>
                        </m:r>
                      </m:fName>
                      <m:e>
                        <m:d>
                          <m:dPr>
                            <m:ctrlPr>
                              <a:rPr lang="fr-FR" sz="2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𝜑</m:t>
                            </m:r>
                          </m:e>
                        </m:d>
                      </m:e>
                    </m:func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/>
            <xdr:cNvSpPr txBox="1"/>
          </xdr:nvSpPr>
          <xdr:spPr>
            <a:xfrm>
              <a:off x="6259286" y="3962400"/>
              <a:ext cx="2533650" cy="33337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fr-FR" sz="2000" b="0" i="0">
                  <a:latin typeface="Cambria Math" panose="02040503050406030204" pitchFamily="18" charset="0"/>
                </a:rPr>
                <a:t>𝑠(𝑡)=𝑠_0  sin⁡(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𝜔𝑡+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𝜑)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19</xdr:col>
      <xdr:colOff>723900</xdr:colOff>
      <xdr:row>17</xdr:row>
      <xdr:rowOff>133350</xdr:rowOff>
    </xdr:from>
    <xdr:to>
      <xdr:col>21</xdr:col>
      <xdr:colOff>190500</xdr:colOff>
      <xdr:row>19</xdr:row>
      <xdr:rowOff>38100</xdr:rowOff>
    </xdr:to>
    <xdr:sp macro="" textlink="">
      <xdr:nvSpPr>
        <xdr:cNvPr id="7" name="ZoneTexte 6"/>
        <xdr:cNvSpPr txBox="1"/>
      </xdr:nvSpPr>
      <xdr:spPr>
        <a:xfrm>
          <a:off x="14439900" y="2895600"/>
          <a:ext cx="9906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-20 dB/dec</a:t>
          </a:r>
        </a:p>
      </xdr:txBody>
    </xdr:sp>
    <xdr:clientData/>
  </xdr:twoCellAnchor>
  <xdr:twoCellAnchor>
    <xdr:from>
      <xdr:col>18</xdr:col>
      <xdr:colOff>256055</xdr:colOff>
      <xdr:row>63</xdr:row>
      <xdr:rowOff>21368</xdr:rowOff>
    </xdr:from>
    <xdr:to>
      <xdr:col>26</xdr:col>
      <xdr:colOff>390526</xdr:colOff>
      <xdr:row>83</xdr:row>
      <xdr:rowOff>62117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39</xdr:row>
      <xdr:rowOff>115420</xdr:rowOff>
    </xdr:from>
    <xdr:to>
      <xdr:col>8</xdr:col>
      <xdr:colOff>419100</xdr:colOff>
      <xdr:row>47</xdr:row>
      <xdr:rowOff>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/>
            <xdr:cNvSpPr txBox="1"/>
          </xdr:nvSpPr>
          <xdr:spPr>
            <a:xfrm>
              <a:off x="2145926" y="7869891"/>
              <a:ext cx="4514850" cy="149822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|"/>
                        <m:endChr m:val="|"/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</m:d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sSup>
                              <m:sSupPr>
                                <m:ctrlP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𝑇</m:t>
                                </m:r>
                              </m:e>
                              <m:sup>
                                <m: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sSup>
                              <m:sSupPr>
                                <m:ctrlP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p>
                                <m:r>
                                  <a:rPr lang="fr-FR" sz="18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</m:den>
                    </m:f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;     </m:t>
                    </m:r>
                    <m:sSub>
                      <m:sSub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𝐺</m:t>
                        </m:r>
                      </m:e>
                      <m:sub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𝑑𝑏</m:t>
                        </m:r>
                      </m:sub>
                    </m:sSub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fr-FR" sz="18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20</m:t>
                    </m:r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𝑙𝑜𝑔</m:t>
                    </m:r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d>
                          <m:dPr>
                            <m:begChr m:val="|"/>
                            <m:endChr m:val="|"/>
                            <m:ctrlP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</m:e>
                        </m:d>
                      </m:e>
                    </m:d>
                  </m:oMath>
                </m:oMathPara>
              </a14:m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b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</m:d>
                    <m:sSub>
                      <m:sSub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b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𝜑</m:t>
                    </m:r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𝑎𝑟𝑔</m:t>
                    </m:r>
                    <m:d>
                      <m:d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𝜔</m:t>
                        </m:r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</m:d>
                    <m:r>
                      <a:rPr lang="fr-FR" sz="18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fr-FR" sz="18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unc>
                      <m:funcPr>
                        <m:ctrlP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sSup>
                          <m:sSupPr>
                            <m:ctrlP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fr-FR" sz="18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tan</m:t>
                            </m:r>
                          </m:e>
                          <m:sup>
                            <m:r>
                              <a:rPr lang="fr-FR" sz="18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sup>
                        </m:sSup>
                      </m:fName>
                      <m:e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𝜔</m:t>
                        </m:r>
                        <m:r>
                          <a:rPr lang="fr-FR" sz="18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e>
                    </m:func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1" name="ZoneTexte 10"/>
            <xdr:cNvSpPr txBox="1"/>
          </xdr:nvSpPr>
          <xdr:spPr>
            <a:xfrm>
              <a:off x="2145926" y="7869891"/>
              <a:ext cx="4514850" cy="149822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|𝐻|=𝐾/√(1+𝑇^2 𝜔^2 )      ;     𝐺_𝑑𝑏=20𝑙𝑜𝑔(|𝐻|)</a:t>
              </a:r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𝑠_0=|𝐻| 𝑒_0</a:t>
              </a:r>
              <a:endParaRPr lang="fr-FR" sz="18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𝜑=−𝑎𝑟𝑔(1+𝑗𝜔𝑇)=</a:t>
              </a:r>
              <a:r>
                <a:rPr lang="fr-FR" sz="18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fr-FR" sz="18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tan^(−1)⁡𝜔𝑇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23</xdr:col>
      <xdr:colOff>22412</xdr:colOff>
      <xdr:row>0</xdr:row>
      <xdr:rowOff>89647</xdr:rowOff>
    </xdr:from>
    <xdr:to>
      <xdr:col>31</xdr:col>
      <xdr:colOff>99733</xdr:colOff>
      <xdr:row>19</xdr:row>
      <xdr:rowOff>127748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11206</xdr:colOff>
      <xdr:row>20</xdr:row>
      <xdr:rowOff>33618</xdr:rowOff>
    </xdr:from>
    <xdr:to>
      <xdr:col>31</xdr:col>
      <xdr:colOff>88527</xdr:colOff>
      <xdr:row>38</xdr:row>
      <xdr:rowOff>156882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605117</xdr:colOff>
      <xdr:row>41</xdr:row>
      <xdr:rowOff>145677</xdr:rowOff>
    </xdr:from>
    <xdr:to>
      <xdr:col>22</xdr:col>
      <xdr:colOff>547967</xdr:colOff>
      <xdr:row>61</xdr:row>
      <xdr:rowOff>161366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571499</xdr:colOff>
      <xdr:row>41</xdr:row>
      <xdr:rowOff>134471</xdr:rowOff>
    </xdr:from>
    <xdr:to>
      <xdr:col>30</xdr:col>
      <xdr:colOff>705970</xdr:colOff>
      <xdr:row>61</xdr:row>
      <xdr:rowOff>145677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7437</xdr:colOff>
      <xdr:row>15</xdr:row>
      <xdr:rowOff>194829</xdr:rowOff>
    </xdr:from>
    <xdr:to>
      <xdr:col>24</xdr:col>
      <xdr:colOff>150638</xdr:colOff>
      <xdr:row>35</xdr:row>
      <xdr:rowOff>147503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733943</xdr:colOff>
      <xdr:row>58</xdr:row>
      <xdr:rowOff>19101</xdr:rowOff>
    </xdr:from>
    <xdr:to>
      <xdr:col>28</xdr:col>
      <xdr:colOff>122072</xdr:colOff>
      <xdr:row>79</xdr:row>
      <xdr:rowOff>90054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555171</xdr:colOff>
      <xdr:row>24</xdr:row>
      <xdr:rowOff>28575</xdr:rowOff>
    </xdr:from>
    <xdr:to>
      <xdr:col>5</xdr:col>
      <xdr:colOff>40821</xdr:colOff>
      <xdr:row>25</xdr:row>
      <xdr:rowOff>174171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1317171" y="6115050"/>
              <a:ext cx="2571750" cy="3360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000" b="0"/>
                <a:t>e</a:t>
              </a:r>
              <a14:m>
                <m:oMath xmlns:m="http://schemas.openxmlformats.org/officeDocument/2006/math">
                  <m:d>
                    <m:d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fr-FR" sz="20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</m:d>
                  <m:r>
                    <a:rPr lang="fr-FR" sz="2000" b="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fr-FR" sz="2000" b="0" i="1">
                          <a:latin typeface="Cambria Math" panose="02040503050406030204" pitchFamily="18" charset="0"/>
                        </a:rPr>
                        <m:t>𝑒</m:t>
                      </m:r>
                    </m:e>
                    <m:sub>
                      <m:r>
                        <a:rPr lang="fr-FR" sz="20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func>
                    <m:funcPr>
                      <m:ctrlPr>
                        <a:rPr lang="fr-FR" sz="2000" b="0" i="1">
                          <a:latin typeface="Cambria Math" panose="02040503050406030204" pitchFamily="18" charset="0"/>
                        </a:rPr>
                      </m:ctrlPr>
                    </m:funcPr>
                    <m:fName>
                      <m:r>
                        <m:rPr>
                          <m:sty m:val="p"/>
                        </m:rPr>
                        <a:rPr lang="fr-FR" sz="2000" b="0" i="0">
                          <a:latin typeface="Cambria Math" panose="02040503050406030204" pitchFamily="18" charset="0"/>
                        </a:rPr>
                        <m:t>sin</m:t>
                      </m:r>
                    </m:fName>
                    <m:e>
                      <m:d>
                        <m:dPr>
                          <m:ctrlPr>
                            <a:rPr lang="fr-FR" sz="2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fr-FR" sz="20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𝜔</m:t>
                          </m:r>
                          <m:r>
                            <a:rPr lang="fr-FR" sz="2000" b="0" i="1">
                              <a:solidFill>
                                <a:schemeClr val="dk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𝑡</m:t>
                          </m:r>
                        </m:e>
                      </m:d>
                    </m:e>
                  </m:func>
                </m:oMath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1317171" y="6115050"/>
              <a:ext cx="2571750" cy="3360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2000" b="0"/>
                <a:t>e</a:t>
              </a:r>
              <a:r>
                <a:rPr lang="fr-FR" sz="2000" b="0" i="0">
                  <a:latin typeface="Cambria Math" panose="02040503050406030204" pitchFamily="18" charset="0"/>
                </a:rPr>
                <a:t>(𝑡)=𝑒_0  sin⁡(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𝜔𝑡)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7</xdr:col>
      <xdr:colOff>753836</xdr:colOff>
      <xdr:row>24</xdr:row>
      <xdr:rowOff>20410</xdr:rowOff>
    </xdr:from>
    <xdr:to>
      <xdr:col>11</xdr:col>
      <xdr:colOff>239486</xdr:colOff>
      <xdr:row>25</xdr:row>
      <xdr:rowOff>144236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/>
            <xdr:cNvSpPr txBox="1"/>
          </xdr:nvSpPr>
          <xdr:spPr>
            <a:xfrm>
              <a:off x="6128657" y="4864553"/>
              <a:ext cx="2533650" cy="3143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fr-FR" sz="2000" b="0" i="1">
                        <a:latin typeface="Cambria Math" panose="02040503050406030204" pitchFamily="18" charset="0"/>
                      </a:rPr>
                      <m:t>𝑠</m:t>
                    </m:r>
                    <m:d>
                      <m:d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</m:d>
                    <m:r>
                      <a:rPr lang="fr-FR" sz="20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fr-FR" sz="20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func>
                      <m:funcPr>
                        <m:ctrlPr>
                          <a:rPr lang="fr-FR" sz="2000" b="0" i="1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2000" b="0" i="0">
                            <a:latin typeface="Cambria Math" panose="02040503050406030204" pitchFamily="18" charset="0"/>
                          </a:rPr>
                          <m:t>sin</m:t>
                        </m:r>
                      </m:fName>
                      <m:e>
                        <m:d>
                          <m:dPr>
                            <m:ctrlPr>
                              <a:rPr lang="fr-FR" sz="20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20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𝜑</m:t>
                            </m:r>
                          </m:e>
                        </m:d>
                      </m:e>
                    </m:func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/>
            <xdr:cNvSpPr txBox="1"/>
          </xdr:nvSpPr>
          <xdr:spPr>
            <a:xfrm>
              <a:off x="6128657" y="4864553"/>
              <a:ext cx="2533650" cy="3143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fr-FR" sz="2000" b="0" i="0">
                  <a:latin typeface="Cambria Math" panose="02040503050406030204" pitchFamily="18" charset="0"/>
                </a:rPr>
                <a:t>𝑠(𝑡)=𝑠_0  sin⁡(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𝜔𝑡+</a:t>
              </a:r>
              <a:r>
                <a:rPr lang="fr-FR" sz="20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𝜑)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16</xdr:col>
      <xdr:colOff>15535</xdr:colOff>
      <xdr:row>0</xdr:row>
      <xdr:rowOff>48338</xdr:rowOff>
    </xdr:from>
    <xdr:to>
      <xdr:col>24</xdr:col>
      <xdr:colOff>71077</xdr:colOff>
      <xdr:row>16</xdr:row>
      <xdr:rowOff>35402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57150</xdr:colOff>
      <xdr:row>5</xdr:row>
      <xdr:rowOff>95250</xdr:rowOff>
    </xdr:from>
    <xdr:to>
      <xdr:col>6</xdr:col>
      <xdr:colOff>695325</xdr:colOff>
      <xdr:row>11</xdr:row>
      <xdr:rowOff>142875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ZoneTexte 8"/>
            <xdr:cNvSpPr txBox="1"/>
          </xdr:nvSpPr>
          <xdr:spPr>
            <a:xfrm>
              <a:off x="819150" y="1076325"/>
              <a:ext cx="4486275" cy="12001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</m:t>
                    </m:r>
                    <m:sSup>
                      <m:sSup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p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′′</m:t>
                        </m:r>
                      </m:sup>
                    </m:sSup>
                    <m:d>
                      <m:d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𝑣</m:t>
                    </m:r>
                    <m:sSup>
                      <m:sSup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</m:t>
                        </m:r>
                      </m:e>
                      <m:sup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sup>
                    </m:sSup>
                    <m:d>
                      <m:d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𝑤𝑠</m:t>
                    </m:r>
                    <m:d>
                      <m:d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𝑡𝑒</m:t>
                    </m:r>
                    <m:d>
                      <m:d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𝑡</m:t>
                        </m:r>
                      </m:e>
                    </m:d>
                  </m:oMath>
                </m:oMathPara>
              </a14:m>
              <a:endParaRPr lang="fr-FR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d>
                      <m:d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sSup>
                          <m:sSupPr>
                            <m:ctrlP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p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𝑏𝑝</m:t>
                        </m:r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</m:t>
                        </m:r>
                      </m:den>
                    </m:f>
                    <m:r>
                      <a:rPr lang="fr-FR" sz="16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𝑧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6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6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6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num>
                          <m:den>
                            <m:sSup>
                              <m:sSupPr>
                                <m:ctrlPr>
                                  <a:rPr lang="fr-FR" sz="16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sSub>
                                  <m:sSubPr>
                                    <m:ctrlPr>
                                      <a:rPr lang="fr-FR" sz="16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6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  <m:sub>
                                    <m:r>
                                      <a:rPr lang="fr-FR" sz="16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</m:e>
                              <m:sup>
                                <m:r>
                                  <a:rPr lang="fr-FR" sz="16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den>
                        </m:f>
                        <m:sSup>
                          <m:sSupPr>
                            <m:ctrlP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p>
                            <m: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9" name="ZoneTexte 8"/>
            <xdr:cNvSpPr txBox="1"/>
          </xdr:nvSpPr>
          <xdr:spPr>
            <a:xfrm>
              <a:off x="819150" y="1076325"/>
              <a:ext cx="4486275" cy="12001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fr-FR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𝑢𝑠^′′ (𝑡)+𝑣𝑠^′ (𝑡)+𝑤𝑠(𝑡)=𝑡𝑒(𝑡)</a:t>
              </a:r>
              <a:endParaRPr lang="fr-FR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fr-FR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𝐻(𝑝)=𝐾/(𝑎𝑝^2+𝑏𝑝+</a:t>
              </a:r>
              <a:r>
                <a:rPr lang="fr-FR" sz="16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fr-FR" sz="16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fr-FR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=𝐾/(1+2𝑧/𝜔_0  𝑝+1/〖𝜔_0〗^2  𝑝^2 )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1</xdr:col>
      <xdr:colOff>504265</xdr:colOff>
      <xdr:row>43</xdr:row>
      <xdr:rowOff>114301</xdr:rowOff>
    </xdr:from>
    <xdr:to>
      <xdr:col>11</xdr:col>
      <xdr:colOff>100852</xdr:colOff>
      <xdr:row>63</xdr:row>
      <xdr:rowOff>44823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ZoneTexte 10"/>
            <xdr:cNvSpPr txBox="1"/>
          </xdr:nvSpPr>
          <xdr:spPr>
            <a:xfrm>
              <a:off x="1266265" y="8686801"/>
              <a:ext cx="7261411" cy="376293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d>
                      <m:d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sSup>
                          <m:sSup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p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𝑏𝑝</m:t>
                        </m:r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</m:t>
                        </m:r>
                      </m:den>
                    </m:f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</m:t>
                    </m:r>
                    <m:d>
                      <m:d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</m:t>
                        </m:r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𝜔</m:t>
                        </m:r>
                      </m:e>
                    </m:d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sSup>
                              <m:sSup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e>
                        </m:d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𝑗𝑏</m:t>
                        </m:r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𝜔</m:t>
                        </m:r>
                      </m:den>
                    </m:f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;     </m:t>
                    </m:r>
                    <m:d>
                      <m:dPr>
                        <m:begChr m:val="|"/>
                        <m:endChr m:val="|"/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</m:d>
                      </m:e>
                    </m:d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sSup>
                              <m:sSup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</m:t>
                                    </m:r>
                                    <m:sSup>
                                      <m:sSupPr>
                                        <m:ctrlP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𝜔</m:t>
                                        </m:r>
                                      </m:e>
                                      <m:sup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</m:e>
                                </m:d>
                              </m:e>
                              <m: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p>
                              <m:sSup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𝑏</m:t>
                                    </m:r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</m:d>
                              </m:e>
                              <m: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e>
                        </m:rad>
                      </m:den>
                    </m:f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𝜑</m:t>
                    </m:r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arg</m:t>
                        </m:r>
                      </m:fName>
                      <m:e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𝐾</m:t>
                                </m:r>
                              </m:num>
                              <m:den>
                                <m:d>
                                  <m:d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1−</m:t>
                                    </m:r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𝑎</m:t>
                                    </m:r>
                                    <m:sSup>
                                      <m:sSupPr>
                                        <m:ctrlP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𝜔</m:t>
                                        </m:r>
                                      </m:e>
                                      <m:sup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</m:e>
                                </m:d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𝑗𝑏</m:t>
                                </m:r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den>
                            </m:f>
                          </m:e>
                        </m:d>
                      </m:e>
                    </m:func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func>
                      <m:func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arg</m:t>
                        </m:r>
                      </m:fName>
                      <m:e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d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𝑗𝑏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</m:d>
                      </m:e>
                    </m:func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arg</m:t>
                        </m:r>
                      </m:fName>
                      <m:e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d>
                              <m:d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1−</m:t>
                                </m:r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d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𝑗𝑏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𝜔</m:t>
                            </m:r>
                          </m:e>
                        </m:d>
                      </m:e>
                    </m:func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arg</m:t>
                        </m:r>
                      </m:fName>
                      <m:e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𝑗𝐵</m:t>
                            </m:r>
                          </m:e>
                        </m:d>
                      </m:e>
                    </m:func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;     </m:t>
                    </m:r>
                    <m:d>
                      <m:dPr>
                        <m:begChr m:val="{"/>
                        <m:endChr m:val=""/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𝐴</m:t>
                              </m:r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=1−</m:t>
                              </m:r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𝑎</m:t>
                              </m:r>
                              <m:sSup>
                                <m:sSupPr>
                                  <m:ctrlPr>
                                    <a:rPr lang="fr-FR" sz="14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pPr>
                                <m:e>
                                  <m:r>
                                    <a:rPr lang="fr-FR" sz="14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𝜔</m:t>
                                  </m:r>
                                </m:e>
                                <m:sup>
                                  <m:r>
                                    <a:rPr lang="fr-FR" sz="14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2</m:t>
                                  </m:r>
                                </m:sup>
                              </m:sSup>
                            </m:e>
                          </m:mr>
                          <m:mr>
                            <m:e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𝐵</m:t>
                              </m:r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=−</m:t>
                              </m:r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𝑏</m:t>
                              </m:r>
                              <m:r>
                                <a:rPr lang="fr-FR" sz="14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𝜔</m:t>
                              </m:r>
                            </m:e>
                          </m:mr>
                        </m:m>
                      </m:e>
                    </m:d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𝜑</m:t>
                    </m:r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unc>
                      <m:func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sign</m:t>
                        </m:r>
                      </m:fName>
                      <m:e>
                        <m:d>
                          <m:d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m:rPr>
                                <m:sty m:val="p"/>
                              </m:rPr>
                              <a:rPr lang="fr-FR" sz="14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B</m:t>
                            </m:r>
                          </m:e>
                        </m:d>
                      </m:e>
                    </m:func>
                    <m:sSup>
                      <m:sSup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cos</m:t>
                        </m:r>
                      </m:e>
                      <m:sup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d>
                      <m:d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𝐴</m:t>
                                    </m:r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𝐵</m:t>
                                    </m:r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  <m:r>
                      <a:rPr lang="fr-FR" sz="14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sSup>
                      <m:sSup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fr-FR" sz="14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cos</m:t>
                        </m:r>
                      </m:e>
                      <m:sup>
                        <m: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−1</m:t>
                        </m:r>
                      </m:sup>
                    </m:sSup>
                    <m:d>
                      <m:dPr>
                        <m:ctrlPr>
                          <a:rPr lang="fr-FR" sz="14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r>
                              <a:rPr lang="fr-FR" sz="14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sSup>
                              <m:sSupPr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1−</m:t>
                                        </m:r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𝑎</m:t>
                                        </m:r>
                                        <m:sSup>
                                          <m:sSupPr>
                                            <m:ctrlPr>
                                              <a:rPr lang="fr-FR" sz="14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pPr>
                                          <m:e>
                                            <m:r>
                                              <a:rPr lang="fr-FR" sz="14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𝜔</m:t>
                                            </m:r>
                                          </m:e>
                                          <m:sup>
                                            <m:r>
                                              <a:rPr lang="fr-FR" sz="1400" i="1">
                                                <a:solidFill>
                                                  <a:schemeClr val="dk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2</m:t>
                                            </m:r>
                                          </m:sup>
                                        </m:sSup>
                                      </m:e>
                                    </m:d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fr-FR" sz="14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sSup>
                                  <m:sSupPr>
                                    <m:ctrlP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d>
                                      <m:dPr>
                                        <m:ctrlP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𝑏</m:t>
                                        </m:r>
                                        <m:r>
                                          <a:rPr lang="fr-FR" sz="1400" i="1">
                                            <a:solidFill>
                                              <a:schemeClr val="dk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𝜔</m:t>
                                        </m:r>
                                      </m:e>
                                    </m:d>
                                  </m:e>
                                  <m:sup>
                                    <m:r>
                                      <a:rPr lang="fr-FR" sz="14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{"/>
                        <m:endChr m:val=""/>
                        <m:ctrlPr>
                          <a:rPr lang="fr-FR" sz="16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lang="fr-FR" sz="16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𝐺</m:t>
                                  </m:r>
                                </m:e>
                                <m:sub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𝑟</m:t>
                                  </m:r>
                                </m:sub>
                              </m:sSub>
                              <m:r>
                                <a:rPr lang="fr-FR" sz="16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=20</m:t>
                              </m:r>
                              <m:func>
                                <m:funcPr>
                                  <m:ctrlP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funcPr>
                                <m:fName>
                                  <m:r>
                                    <m:rPr>
                                      <m:sty m:val="p"/>
                                    </m:rPr>
                                    <a:rPr lang="fr-FR" sz="1600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log</m:t>
                                  </m:r>
                                </m:fName>
                                <m:e>
                                  <m:d>
                                    <m:dPr>
                                      <m:ctrlPr>
                                        <a:rPr lang="fr-FR" sz="1600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dPr>
                                    <m:e>
                                      <m:f>
                                        <m:fPr>
                                          <m:ctrlPr>
                                            <a:rPr lang="fr-FR" sz="1600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</m:ctrlPr>
                                        </m:fPr>
                                        <m:num>
                                          <m:r>
                                            <a:rPr lang="fr-FR" sz="1600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𝐾</m:t>
                                          </m:r>
                                        </m:num>
                                        <m:den>
                                          <m:r>
                                            <a:rPr lang="fr-FR" sz="1600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2</m:t>
                                          </m:r>
                                          <m:r>
                                            <a:rPr lang="fr-FR" sz="1600" i="1">
                                              <a:solidFill>
                                                <a:schemeClr val="dk1"/>
                                              </a:solidFill>
                                              <a:effectLst/>
                                              <a:latin typeface="Cambria Math" panose="02040503050406030204" pitchFamily="18" charset="0"/>
                                              <a:ea typeface="+mn-ea"/>
                                              <a:cs typeface="+mn-cs"/>
                                            </a:rPr>
                                            <m:t>𝑧</m:t>
                                          </m:r>
                                          <m:rad>
                                            <m:radPr>
                                              <m:degHide m:val="on"/>
                                              <m:ctrlPr>
                                                <a:rPr lang="fr-FR" sz="1600" i="1">
                                                  <a:solidFill>
                                                    <a:schemeClr val="dk1"/>
                                                  </a:solidFill>
                                                  <a:effectLst/>
                                                  <a:latin typeface="Cambria Math" panose="02040503050406030204" pitchFamily="18" charset="0"/>
                                                  <a:ea typeface="+mn-ea"/>
                                                  <a:cs typeface="+mn-cs"/>
                                                </a:rPr>
                                              </m:ctrlPr>
                                            </m:radPr>
                                            <m:deg/>
                                            <m:e>
                                              <m:r>
                                                <a:rPr lang="fr-FR" sz="1600" i="1">
                                                  <a:solidFill>
                                                    <a:schemeClr val="dk1"/>
                                                  </a:solidFill>
                                                  <a:effectLst/>
                                                  <a:latin typeface="Cambria Math" panose="02040503050406030204" pitchFamily="18" charset="0"/>
                                                  <a:ea typeface="+mn-ea"/>
                                                  <a:cs typeface="+mn-cs"/>
                                                </a:rPr>
                                                <m:t>1−</m:t>
                                              </m:r>
                                              <m:sSup>
                                                <m:sSupPr>
                                                  <m:ctrlPr>
                                                    <a:rPr lang="fr-FR" sz="1600" i="1">
                                                      <a:solidFill>
                                                        <a:schemeClr val="dk1"/>
                                                      </a:solidFill>
                                                      <a:effectLst/>
                                                      <a:latin typeface="Cambria Math" panose="02040503050406030204" pitchFamily="18" charset="0"/>
                                                      <a:ea typeface="+mn-ea"/>
                                                      <a:cs typeface="+mn-cs"/>
                                                    </a:rPr>
                                                  </m:ctrlPr>
                                                </m:sSupPr>
                                                <m:e>
                                                  <m:r>
                                                    <a:rPr lang="fr-FR" sz="1600" i="1">
                                                      <a:solidFill>
                                                        <a:schemeClr val="dk1"/>
                                                      </a:solidFill>
                                                      <a:effectLst/>
                                                      <a:latin typeface="Cambria Math" panose="02040503050406030204" pitchFamily="18" charset="0"/>
                                                      <a:ea typeface="+mn-ea"/>
                                                      <a:cs typeface="+mn-cs"/>
                                                    </a:rPr>
                                                    <m:t>𝑧</m:t>
                                                  </m:r>
                                                </m:e>
                                                <m:sup>
                                                  <m:r>
                                                    <a:rPr lang="fr-FR" sz="1600" i="1">
                                                      <a:solidFill>
                                                        <a:schemeClr val="dk1"/>
                                                      </a:solidFill>
                                                      <a:effectLst/>
                                                      <a:latin typeface="Cambria Math" panose="02040503050406030204" pitchFamily="18" charset="0"/>
                                                      <a:ea typeface="+mn-ea"/>
                                                      <a:cs typeface="+mn-cs"/>
                                                    </a:rPr>
                                                    <m:t>2</m:t>
                                                  </m:r>
                                                </m:sup>
                                              </m:sSup>
                                            </m:e>
                                          </m:rad>
                                        </m:den>
                                      </m:f>
                                    </m:e>
                                  </m:d>
                                </m:e>
                              </m:func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𝜔</m:t>
                                  </m:r>
                                </m:e>
                                <m:sub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𝑟</m:t>
                                  </m:r>
                                </m:sub>
                              </m:sSub>
                              <m:r>
                                <a:rPr lang="fr-FR" sz="1600" i="1">
                                  <a:solidFill>
                                    <a:schemeClr val="dk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=</m:t>
                              </m:r>
                              <m:sSub>
                                <m:sSubPr>
                                  <m:ctrlP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𝜔</m:t>
                                  </m:r>
                                </m:e>
                                <m:sub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sub>
                              </m:sSub>
                              <m:rad>
                                <m:radPr>
                                  <m:degHide m:val="on"/>
                                  <m:ctrlP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radPr>
                                <m:deg/>
                                <m:e>
                                  <m:r>
                                    <a:rPr lang="fr-FR" sz="1600" i="1">
                                      <a:solidFill>
                                        <a:schemeClr val="dk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1−2</m:t>
                                  </m:r>
                                  <m:sSup>
                                    <m:sSupPr>
                                      <m:ctrlPr>
                                        <a:rPr lang="fr-FR" sz="1600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fr-FR" sz="1600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𝑧</m:t>
                                      </m:r>
                                    </m:e>
                                    <m:sup>
                                      <m:r>
                                        <a:rPr lang="fr-FR" sz="1600" i="1">
                                          <a:solidFill>
                                            <a:schemeClr val="dk1"/>
                                          </a:solidFill>
                                          <a:effectLst/>
                                          <a:latin typeface="Cambria Math" panose="02040503050406030204" pitchFamily="18" charset="0"/>
                                          <a:ea typeface="+mn-ea"/>
                                          <a:cs typeface="+mn-cs"/>
                                        </a:rPr>
                                        <m:t>2</m:t>
                                      </m:r>
                                    </m:sup>
                                  </m:sSup>
                                </m:e>
                              </m:rad>
                            </m:e>
                          </m:mr>
                        </m:m>
                      </m:e>
                    </m:d>
                  </m:oMath>
                </m:oMathPara>
              </a14:m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1" name="ZoneTexte 10"/>
            <xdr:cNvSpPr txBox="1"/>
          </xdr:nvSpPr>
          <xdr:spPr>
            <a:xfrm>
              <a:off x="1266265" y="8686801"/>
              <a:ext cx="7261411" cy="376293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/>
              <a:r>
                <a:rPr lang="fr-FR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𝐻(𝑝)=𝐾/(𝑎𝑝^2+𝑏𝑝+1)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𝐻(𝑗𝜔)=𝐾/((1−𝑎𝜔^2 )+𝑗𝑏𝜔)      ;     |𝐻(𝑗𝜔)|=𝐾/√((1−𝑎𝜔^2 )^2+(𝑏𝜔)^2 )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𝜑=arg⁡(𝐾/((1−𝑎𝜔^2 )+𝑗𝑏𝜔))=−arg⁡((1−𝑎𝜔^2 )+𝑗𝑏𝜔)=arg⁡((1−𝑎𝜔^2 )−𝑗𝑏𝜔)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=arg⁡(𝐴+𝑗𝐵)      ;     {■8(𝐴=1−𝑎𝜔^2@𝐵=−𝑏𝜔)┤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𝜑=sign⁡(B) cos^(−1) (𝐴/√(𝐴^2+𝐵^2 ))=−cos^(−1) ((1−𝑎𝜔^2)/√((1−𝑎𝜔^2 )^2+(𝑏𝜔)^2 ))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6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{■8(𝐺_𝑟=20 log⁡(𝐾/(2𝑧√(1−𝑧^2 )))@𝜔_𝑟=𝜔_0 √(1−2𝑧^2 ))┤</a:t>
              </a:r>
              <a:endParaRPr lang="fr-FR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25</xdr:col>
      <xdr:colOff>11206</xdr:colOff>
      <xdr:row>0</xdr:row>
      <xdr:rowOff>1</xdr:rowOff>
    </xdr:from>
    <xdr:to>
      <xdr:col>33</xdr:col>
      <xdr:colOff>88527</xdr:colOff>
      <xdr:row>16</xdr:row>
      <xdr:rowOff>1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750793</xdr:colOff>
      <xdr:row>16</xdr:row>
      <xdr:rowOff>100854</xdr:rowOff>
    </xdr:from>
    <xdr:to>
      <xdr:col>33</xdr:col>
      <xdr:colOff>66114</xdr:colOff>
      <xdr:row>35</xdr:row>
      <xdr:rowOff>161365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22411</xdr:colOff>
      <xdr:row>84</xdr:row>
      <xdr:rowOff>12326</xdr:rowOff>
    </xdr:from>
    <xdr:to>
      <xdr:col>33</xdr:col>
      <xdr:colOff>22411</xdr:colOff>
      <xdr:row>98</xdr:row>
      <xdr:rowOff>77320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27</xdr:col>
      <xdr:colOff>0</xdr:colOff>
      <xdr:row>98</xdr:row>
      <xdr:rowOff>64994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123265</xdr:colOff>
      <xdr:row>36</xdr:row>
      <xdr:rowOff>201704</xdr:rowOff>
    </xdr:from>
    <xdr:to>
      <xdr:col>24</xdr:col>
      <xdr:colOff>33131</xdr:colOff>
      <xdr:row>56</xdr:row>
      <xdr:rowOff>123264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0</xdr:colOff>
      <xdr:row>37</xdr:row>
      <xdr:rowOff>0</xdr:rowOff>
    </xdr:from>
    <xdr:to>
      <xdr:col>32</xdr:col>
      <xdr:colOff>143201</xdr:colOff>
      <xdr:row>56</xdr:row>
      <xdr:rowOff>134471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114"/>
  <sheetViews>
    <sheetView zoomScale="85" zoomScaleNormal="85" workbookViewId="0">
      <selection activeCell="L7" sqref="L7"/>
    </sheetView>
  </sheetViews>
  <sheetFormatPr baseColWidth="10" defaultRowHeight="15" x14ac:dyDescent="0.25"/>
  <cols>
    <col min="1" max="1" width="11.42578125" style="21"/>
    <col min="2" max="2" width="13.5703125" style="21" bestFit="1" customWidth="1"/>
    <col min="3" max="11" width="11.42578125" style="21"/>
    <col min="12" max="12" width="16.140625" style="21" bestFit="1" customWidth="1"/>
    <col min="13" max="13" width="16.140625" style="242" customWidth="1"/>
    <col min="14" max="14" width="3.140625" style="21" customWidth="1"/>
    <col min="15" max="15" width="13.42578125" style="21" bestFit="1" customWidth="1"/>
    <col min="16" max="19" width="11.42578125" style="21"/>
    <col min="20" max="20" width="12.28515625" style="21" bestFit="1" customWidth="1"/>
    <col min="21" max="16384" width="11.42578125" style="21"/>
  </cols>
  <sheetData>
    <row r="1" spans="1:14" ht="15.75" thickBot="1" x14ac:dyDescent="0.3"/>
    <row r="2" spans="1:14" ht="15.75" thickBot="1" x14ac:dyDescent="0.3">
      <c r="B2" s="170" t="s">
        <v>40</v>
      </c>
      <c r="C2" s="171"/>
      <c r="D2" s="171"/>
      <c r="E2" s="172"/>
      <c r="F2" s="6" t="s">
        <v>0</v>
      </c>
      <c r="G2" s="1">
        <v>10</v>
      </c>
      <c r="I2" s="198" t="s">
        <v>66</v>
      </c>
      <c r="J2" s="251"/>
      <c r="K2" s="152"/>
      <c r="L2" s="158"/>
    </row>
    <row r="3" spans="1:14" ht="15.75" thickBot="1" x14ac:dyDescent="0.3">
      <c r="B3" s="173"/>
      <c r="C3" s="174"/>
      <c r="D3" s="174"/>
      <c r="E3" s="175"/>
      <c r="F3" s="8" t="s">
        <v>7</v>
      </c>
      <c r="G3" s="2">
        <v>1</v>
      </c>
      <c r="I3" s="38" t="s">
        <v>20</v>
      </c>
      <c r="J3" s="247">
        <f>20*LOG(G12)</f>
        <v>20</v>
      </c>
      <c r="K3" s="249" t="s">
        <v>85</v>
      </c>
      <c r="L3" s="250">
        <f>J4*SQRT(G12^2-1)</f>
        <v>9.9498743710661994</v>
      </c>
    </row>
    <row r="4" spans="1:14" x14ac:dyDescent="0.25">
      <c r="B4" s="164" t="s">
        <v>69</v>
      </c>
      <c r="C4" s="165"/>
      <c r="D4" s="165"/>
      <c r="E4" s="166"/>
      <c r="F4" s="6" t="s">
        <v>62</v>
      </c>
      <c r="G4" s="1">
        <v>1</v>
      </c>
      <c r="I4" s="42" t="s">
        <v>34</v>
      </c>
      <c r="J4" s="42">
        <f>1/G13</f>
        <v>1</v>
      </c>
      <c r="K4" s="253" t="s">
        <v>83</v>
      </c>
      <c r="L4" s="11">
        <f>-ATAN($G$13*$L$3)</f>
        <v>-1.4706289056333368</v>
      </c>
    </row>
    <row r="5" spans="1:14" ht="15.75" thickBot="1" x14ac:dyDescent="0.3">
      <c r="B5" s="167"/>
      <c r="C5" s="168"/>
      <c r="D5" s="168"/>
      <c r="E5" s="169"/>
      <c r="F5" s="7" t="s">
        <v>63</v>
      </c>
      <c r="G5" s="3">
        <v>20</v>
      </c>
      <c r="I5" s="42" t="s">
        <v>33</v>
      </c>
      <c r="J5" s="248">
        <f>IF(G12&gt;1,SQRT((G12^2-1)/G13^2),"RAS")</f>
        <v>9.9498743710661994</v>
      </c>
      <c r="K5" s="253"/>
      <c r="L5" s="11">
        <f>L4*180/PI()</f>
        <v>-84.260829522733218</v>
      </c>
    </row>
    <row r="6" spans="1:14" ht="15.75" thickBot="1" x14ac:dyDescent="0.3">
      <c r="B6" s="187"/>
      <c r="C6" s="188"/>
      <c r="D6" s="188"/>
      <c r="E6" s="189"/>
      <c r="F6" s="101" t="s">
        <v>64</v>
      </c>
      <c r="G6" s="2">
        <v>3</v>
      </c>
      <c r="I6" s="42" t="s">
        <v>35</v>
      </c>
      <c r="J6" s="248">
        <f>LOG(J4)</f>
        <v>0</v>
      </c>
      <c r="K6" s="253" t="s">
        <v>84</v>
      </c>
      <c r="L6" s="11">
        <f>PI()+L4</f>
        <v>1.6709637479564563</v>
      </c>
    </row>
    <row r="7" spans="1:14" ht="15.75" customHeight="1" thickBot="1" x14ac:dyDescent="0.3">
      <c r="B7" s="190"/>
      <c r="C7" s="191"/>
      <c r="D7" s="191"/>
      <c r="E7" s="192"/>
      <c r="F7" s="151"/>
      <c r="G7" s="158"/>
      <c r="I7" s="49" t="s">
        <v>70</v>
      </c>
      <c r="J7" s="254">
        <f>J3-3</f>
        <v>17</v>
      </c>
      <c r="K7" s="252"/>
      <c r="L7" s="13">
        <f>L6*180/PI()</f>
        <v>95.739170477266768</v>
      </c>
      <c r="N7" s="72"/>
    </row>
    <row r="8" spans="1:14" ht="15.75" customHeight="1" thickBot="1" x14ac:dyDescent="0.3">
      <c r="B8" s="190"/>
      <c r="C8" s="191"/>
      <c r="D8" s="191"/>
      <c r="E8" s="192"/>
      <c r="F8" s="196"/>
      <c r="G8" s="197"/>
      <c r="K8" s="246"/>
      <c r="N8" s="72"/>
    </row>
    <row r="9" spans="1:14" ht="15.75" customHeight="1" thickBot="1" x14ac:dyDescent="0.3">
      <c r="B9" s="190"/>
      <c r="C9" s="191"/>
      <c r="D9" s="191"/>
      <c r="E9" s="192"/>
      <c r="F9" s="196"/>
      <c r="G9" s="197"/>
      <c r="I9" s="52"/>
      <c r="J9" s="52" t="s">
        <v>24</v>
      </c>
      <c r="K9" s="52" t="s">
        <v>25</v>
      </c>
    </row>
    <row r="10" spans="1:14" ht="15.75" customHeight="1" thickBot="1" x14ac:dyDescent="0.3">
      <c r="B10" s="190"/>
      <c r="C10" s="191"/>
      <c r="D10" s="191"/>
      <c r="E10" s="192"/>
      <c r="F10" s="159"/>
      <c r="G10" s="161"/>
      <c r="I10" s="149" t="s">
        <v>22</v>
      </c>
      <c r="J10" s="93">
        <f>K10</f>
        <v>0.01</v>
      </c>
      <c r="K10" s="88">
        <f>J4/J12</f>
        <v>0.01</v>
      </c>
    </row>
    <row r="11" spans="1:14" ht="15.75" thickBot="1" x14ac:dyDescent="0.3">
      <c r="B11" s="190"/>
      <c r="C11" s="191"/>
      <c r="D11" s="191"/>
      <c r="E11" s="192"/>
      <c r="F11" s="156" t="s">
        <v>61</v>
      </c>
      <c r="G11" s="157"/>
      <c r="I11" s="150" t="s">
        <v>23</v>
      </c>
      <c r="J11" s="92">
        <f>K11</f>
        <v>100</v>
      </c>
      <c r="K11" s="89">
        <f>J4*J12</f>
        <v>100</v>
      </c>
    </row>
    <row r="12" spans="1:14" x14ac:dyDescent="0.25">
      <c r="B12" s="190"/>
      <c r="C12" s="191"/>
      <c r="D12" s="191"/>
      <c r="E12" s="192"/>
      <c r="F12" s="102" t="s">
        <v>0</v>
      </c>
      <c r="G12" s="75">
        <f>IF($B$4="K T",$G$2,$G$6/$G$5)</f>
        <v>10</v>
      </c>
      <c r="I12" s="162" t="s">
        <v>65</v>
      </c>
      <c r="J12" s="176">
        <v>100</v>
      </c>
      <c r="K12" s="154"/>
    </row>
    <row r="13" spans="1:14" ht="15.75" thickBot="1" x14ac:dyDescent="0.3">
      <c r="A13" s="17"/>
      <c r="B13" s="193"/>
      <c r="C13" s="194"/>
      <c r="D13" s="194"/>
      <c r="E13" s="195"/>
      <c r="F13" s="103" t="s">
        <v>7</v>
      </c>
      <c r="G13" s="77">
        <f>IF($B$4="K T",$G$3,$G$4/$G$5)</f>
        <v>1</v>
      </c>
      <c r="I13" s="163"/>
      <c r="J13" s="177"/>
      <c r="K13" s="155"/>
    </row>
    <row r="14" spans="1:14" ht="15.75" thickBot="1" x14ac:dyDescent="0.3">
      <c r="A14" s="17"/>
      <c r="B14" s="17"/>
      <c r="C14" s="17"/>
      <c r="D14" s="17"/>
      <c r="E14" s="17"/>
    </row>
    <row r="15" spans="1:14" ht="15.75" thickBot="1" x14ac:dyDescent="0.3">
      <c r="A15" s="17"/>
      <c r="B15" s="16" t="s">
        <v>58</v>
      </c>
      <c r="C15" s="183" t="s">
        <v>12</v>
      </c>
      <c r="D15" s="184"/>
      <c r="E15" s="183" t="s">
        <v>13</v>
      </c>
      <c r="F15" s="184"/>
      <c r="G15" s="183" t="s">
        <v>14</v>
      </c>
      <c r="H15" s="184"/>
      <c r="I15" s="178" t="s">
        <v>15</v>
      </c>
      <c r="J15" s="179"/>
    </row>
    <row r="16" spans="1:14" x14ac:dyDescent="0.25">
      <c r="A16" s="17"/>
      <c r="B16" s="180" t="s">
        <v>1</v>
      </c>
      <c r="C16" s="6" t="s">
        <v>8</v>
      </c>
      <c r="D16" s="10">
        <f>J10</f>
        <v>0.01</v>
      </c>
      <c r="E16" s="6" t="s">
        <v>16</v>
      </c>
      <c r="F16" s="10">
        <f>J4</f>
        <v>1</v>
      </c>
      <c r="G16" s="6" t="s">
        <v>18</v>
      </c>
      <c r="H16" s="56">
        <f>J11</f>
        <v>100</v>
      </c>
      <c r="I16" s="58"/>
      <c r="J16" s="59"/>
    </row>
    <row r="17" spans="1:14" ht="15.75" thickBot="1" x14ac:dyDescent="0.3">
      <c r="A17" s="17"/>
      <c r="B17" s="181"/>
      <c r="C17" s="8" t="s">
        <v>9</v>
      </c>
      <c r="D17" s="13">
        <f>J3</f>
        <v>20</v>
      </c>
      <c r="E17" s="20" t="s">
        <v>17</v>
      </c>
      <c r="F17" s="13">
        <f>J3</f>
        <v>20</v>
      </c>
      <c r="G17" s="8" t="s">
        <v>19</v>
      </c>
      <c r="H17" s="57">
        <f>F17-20*(LOG(H16)-LOG(F16))</f>
        <v>-20</v>
      </c>
      <c r="I17" s="60"/>
      <c r="J17" s="61"/>
    </row>
    <row r="18" spans="1:14" x14ac:dyDescent="0.25">
      <c r="B18" s="182" t="s">
        <v>26</v>
      </c>
      <c r="C18" s="6" t="s">
        <v>8</v>
      </c>
      <c r="D18" s="10">
        <f>D16</f>
        <v>0.01</v>
      </c>
      <c r="E18" s="6" t="s">
        <v>10</v>
      </c>
      <c r="F18" s="10">
        <f>F16</f>
        <v>1</v>
      </c>
      <c r="G18" s="6" t="s">
        <v>16</v>
      </c>
      <c r="H18" s="10">
        <f>F16</f>
        <v>1</v>
      </c>
      <c r="I18" s="34" t="s">
        <v>18</v>
      </c>
      <c r="J18" s="15">
        <f>H16</f>
        <v>100</v>
      </c>
    </row>
    <row r="19" spans="1:14" ht="15.75" thickBot="1" x14ac:dyDescent="0.3">
      <c r="B19" s="181"/>
      <c r="C19" s="8" t="s">
        <v>9</v>
      </c>
      <c r="D19" s="13">
        <v>0</v>
      </c>
      <c r="E19" s="8" t="s">
        <v>11</v>
      </c>
      <c r="F19" s="13">
        <v>0</v>
      </c>
      <c r="G19" s="8" t="s">
        <v>17</v>
      </c>
      <c r="H19" s="13">
        <f>-90</f>
        <v>-90</v>
      </c>
      <c r="I19" s="8" t="s">
        <v>19</v>
      </c>
      <c r="J19" s="13">
        <f>-90</f>
        <v>-90</v>
      </c>
    </row>
    <row r="20" spans="1:14" ht="15.75" thickBot="1" x14ac:dyDescent="0.3"/>
    <row r="21" spans="1:14" x14ac:dyDescent="0.25">
      <c r="B21" s="151"/>
      <c r="C21" s="152"/>
      <c r="D21" s="152"/>
      <c r="E21" s="152"/>
      <c r="F21" s="158"/>
      <c r="H21" s="151"/>
      <c r="I21" s="152"/>
      <c r="J21" s="152"/>
      <c r="K21" s="152"/>
      <c r="L21" s="158"/>
      <c r="M21" s="25"/>
    </row>
    <row r="22" spans="1:14" ht="15.75" thickBot="1" x14ac:dyDescent="0.3">
      <c r="B22" s="159"/>
      <c r="C22" s="160"/>
      <c r="D22" s="160"/>
      <c r="E22" s="160"/>
      <c r="F22" s="161"/>
      <c r="H22" s="159"/>
      <c r="I22" s="160"/>
      <c r="J22" s="160"/>
      <c r="K22" s="160"/>
      <c r="L22" s="161"/>
      <c r="M22" s="25"/>
    </row>
    <row r="23" spans="1:14" ht="26.25" x14ac:dyDescent="0.25">
      <c r="B23" s="34" t="s">
        <v>27</v>
      </c>
      <c r="C23" s="73">
        <v>20</v>
      </c>
      <c r="D23" s="18"/>
      <c r="E23" s="14" t="s">
        <v>7</v>
      </c>
      <c r="F23" s="78">
        <f>2*PI()/C24</f>
        <v>0.62831853071795862</v>
      </c>
      <c r="H23" s="205" t="str">
        <f>"sg(t) = "&amp;TEXT($F$29,"0,00")&amp;" sin("&amp;TEXT($C$24,"0,00")&amp;" t - "&amp;TEXT(ABS($F$31),"0,00")&amp;")"</f>
        <v>sg(t) = 20,00 sin(10,00 t - 1,57)</v>
      </c>
      <c r="I23" s="206"/>
      <c r="J23" s="206"/>
      <c r="K23" s="206"/>
      <c r="L23" s="207"/>
      <c r="M23" s="243"/>
    </row>
    <row r="24" spans="1:14" ht="27" thickBot="1" x14ac:dyDescent="0.3">
      <c r="B24" s="8" t="s">
        <v>21</v>
      </c>
      <c r="C24" s="2">
        <v>10</v>
      </c>
      <c r="D24" s="18"/>
      <c r="E24" s="63" t="s">
        <v>39</v>
      </c>
      <c r="F24" s="22">
        <f>1/F23</f>
        <v>1.5915494309189535</v>
      </c>
      <c r="H24" s="208"/>
      <c r="I24" s="209"/>
      <c r="J24" s="209"/>
      <c r="K24" s="209"/>
      <c r="L24" s="210"/>
      <c r="M24" s="243"/>
    </row>
    <row r="25" spans="1:14" ht="26.25" x14ac:dyDescent="0.25">
      <c r="B25" s="199" t="str">
        <f>"e(t) = "&amp;TEXT($C$23,"0,00")&amp;" sin("&amp;TEXT($C$24,"0,00")&amp;" t)"</f>
        <v>e(t) = 20,00 sin(10,00 t)</v>
      </c>
      <c r="C25" s="200"/>
      <c r="D25" s="200"/>
      <c r="E25" s="200"/>
      <c r="F25" s="201"/>
      <c r="H25" s="208" t="str">
        <f>"sc(t) = "&amp;TEXT($L$29,"0,00")&amp;" sin("&amp;TEXT($C$24,"0,00")&amp;" t - "&amp;TEXT(ABS($L$31),"0,00")&amp;")"</f>
        <v>sc(t) = 19,90 sin(10,00 t - 1,47)</v>
      </c>
      <c r="I25" s="209"/>
      <c r="J25" s="209"/>
      <c r="K25" s="209"/>
      <c r="L25" s="210"/>
      <c r="M25" s="243"/>
    </row>
    <row r="26" spans="1:14" ht="27" thickBot="1" x14ac:dyDescent="0.3">
      <c r="B26" s="202"/>
      <c r="C26" s="203"/>
      <c r="D26" s="203"/>
      <c r="E26" s="203"/>
      <c r="F26" s="204"/>
      <c r="H26" s="211"/>
      <c r="I26" s="212"/>
      <c r="J26" s="212"/>
      <c r="K26" s="212"/>
      <c r="L26" s="213"/>
      <c r="M26" s="243"/>
    </row>
    <row r="27" spans="1:14" ht="15.75" thickBot="1" x14ac:dyDescent="0.3"/>
    <row r="28" spans="1:14" ht="15.75" thickBot="1" x14ac:dyDescent="0.3">
      <c r="A28" s="18"/>
      <c r="B28" s="214" t="s">
        <v>46</v>
      </c>
      <c r="C28" s="215"/>
      <c r="D28" s="215"/>
      <c r="E28" s="188"/>
      <c r="F28" s="189"/>
      <c r="G28" s="17"/>
      <c r="H28" s="214" t="s">
        <v>47</v>
      </c>
      <c r="I28" s="215"/>
      <c r="J28" s="188"/>
      <c r="K28" s="188"/>
      <c r="L28" s="189"/>
      <c r="M28" s="244"/>
      <c r="N28" s="18"/>
    </row>
    <row r="29" spans="1:14" x14ac:dyDescent="0.25">
      <c r="A29" s="18"/>
      <c r="B29" s="26" t="s">
        <v>1</v>
      </c>
      <c r="C29" s="27">
        <f>IF($C$24&lt;$F$16,$F$17,$F$17-20*(LOG($C$24)-LOG($F$16)))</f>
        <v>0</v>
      </c>
      <c r="D29" s="216"/>
      <c r="E29" s="26" t="s">
        <v>28</v>
      </c>
      <c r="F29" s="27">
        <f>$C$23*C30</f>
        <v>20</v>
      </c>
      <c r="H29" s="6" t="s">
        <v>60</v>
      </c>
      <c r="I29" s="117">
        <v>1</v>
      </c>
      <c r="J29" s="124" t="s">
        <v>74</v>
      </c>
      <c r="K29" s="121" t="s">
        <v>28</v>
      </c>
      <c r="L29" s="27">
        <f>$C$23*I31</f>
        <v>19.900743804199784</v>
      </c>
      <c r="M29" s="36"/>
      <c r="N29" s="18"/>
    </row>
    <row r="30" spans="1:14" ht="15.75" thickBot="1" x14ac:dyDescent="0.3">
      <c r="A30" s="18"/>
      <c r="B30" s="67" t="s">
        <v>29</v>
      </c>
      <c r="C30" s="33">
        <f>EXP((C29/20)*LN(10))</f>
        <v>1</v>
      </c>
      <c r="D30" s="217"/>
      <c r="E30" s="28" t="s">
        <v>31</v>
      </c>
      <c r="F30" s="29">
        <f>IF($C$24&lt;$F$18,$F$19,IF($C$24=$F$18,($H$19-$F$19)/2,$J$19))</f>
        <v>-90</v>
      </c>
      <c r="H30" s="8" t="s">
        <v>71</v>
      </c>
      <c r="I30" s="118">
        <f>G13*C24</f>
        <v>10</v>
      </c>
      <c r="J30" s="100">
        <f>$G$12/(1+$G$13^2*C24^2)</f>
        <v>9.9009900990099015E-2</v>
      </c>
      <c r="K30" s="122" t="s">
        <v>31</v>
      </c>
      <c r="L30" s="31">
        <f>I33*180/PI()</f>
        <v>-84.289406862500371</v>
      </c>
      <c r="M30" s="36"/>
      <c r="N30" s="18"/>
    </row>
    <row r="31" spans="1:14" ht="15.75" thickBot="1" x14ac:dyDescent="0.3">
      <c r="A31" s="18"/>
      <c r="B31" s="219"/>
      <c r="C31" s="185"/>
      <c r="D31" s="218"/>
      <c r="E31" s="28" t="s">
        <v>30</v>
      </c>
      <c r="F31" s="31">
        <f>F30*PI()/180</f>
        <v>-1.5707963267948966</v>
      </c>
      <c r="H31" s="68" t="s">
        <v>29</v>
      </c>
      <c r="I31" s="119">
        <f>G12/SQRT(I29^2+I30^2)</f>
        <v>0.99503719020998915</v>
      </c>
      <c r="J31" s="125" t="s">
        <v>75</v>
      </c>
      <c r="K31" s="122" t="s">
        <v>30</v>
      </c>
      <c r="L31" s="31">
        <f>L30*PI()/180</f>
        <v>-1.4711276743037347</v>
      </c>
      <c r="M31" s="36"/>
      <c r="N31" s="18"/>
    </row>
    <row r="32" spans="1:14" ht="15.75" thickBot="1" x14ac:dyDescent="0.3">
      <c r="A32" s="18"/>
      <c r="E32" s="32" t="s">
        <v>76</v>
      </c>
      <c r="F32" s="33">
        <f>F31/$C$24</f>
        <v>-0.15707963267948966</v>
      </c>
      <c r="H32" s="69" t="s">
        <v>1</v>
      </c>
      <c r="I32" s="120">
        <f>20*LOG(I31)</f>
        <v>-4.321373782642559E-2</v>
      </c>
      <c r="J32" s="126">
        <f>-$G$12*$G$13*C24/(1+$G$13^2*C24^2)</f>
        <v>-0.99009900990099009</v>
      </c>
      <c r="K32" s="123" t="s">
        <v>76</v>
      </c>
      <c r="L32" s="146">
        <f>L31/$C$24</f>
        <v>-0.14711276743037346</v>
      </c>
      <c r="M32" s="245"/>
      <c r="N32" s="18"/>
    </row>
    <row r="33" spans="2:13" ht="15.75" thickBot="1" x14ac:dyDescent="0.3">
      <c r="B33" s="183" t="s">
        <v>54</v>
      </c>
      <c r="C33" s="184"/>
      <c r="H33" s="67" t="s">
        <v>26</v>
      </c>
      <c r="I33" s="33">
        <f>-ATAN(I30)</f>
        <v>-1.4711276743037347</v>
      </c>
      <c r="J33" s="127">
        <v>0</v>
      </c>
      <c r="K33" s="185"/>
      <c r="L33" s="186"/>
      <c r="M33" s="25"/>
    </row>
    <row r="34" spans="2:13" ht="15.75" thickBot="1" x14ac:dyDescent="0.3">
      <c r="B34" s="34" t="s">
        <v>55</v>
      </c>
      <c r="C34" s="37">
        <v>0</v>
      </c>
      <c r="E34" s="147" t="s">
        <v>32</v>
      </c>
      <c r="F34" s="148">
        <f>LOG(C24)</f>
        <v>1</v>
      </c>
    </row>
    <row r="35" spans="2:13" x14ac:dyDescent="0.25">
      <c r="B35" s="7" t="s">
        <v>52</v>
      </c>
      <c r="C35" s="11">
        <f>MIN(F30,L30)</f>
        <v>-90</v>
      </c>
    </row>
    <row r="36" spans="2:13" ht="15.75" thickBot="1" x14ac:dyDescent="0.3">
      <c r="B36" s="12" t="s">
        <v>53</v>
      </c>
      <c r="C36" s="13">
        <f>IF(I32&gt;0,MAX(C29,I32),MIN(C29,I32))</f>
        <v>-4.321373782642559E-2</v>
      </c>
    </row>
    <row r="37" spans="2:13" ht="15.75" thickBot="1" x14ac:dyDescent="0.3">
      <c r="G37" s="198" t="s">
        <v>72</v>
      </c>
      <c r="H37" s="153"/>
    </row>
    <row r="38" spans="2:13" ht="15.75" thickBot="1" x14ac:dyDescent="0.3">
      <c r="B38" s="16" t="s">
        <v>5</v>
      </c>
      <c r="C38" s="39" t="s">
        <v>32</v>
      </c>
      <c r="D38" s="40" t="s">
        <v>21</v>
      </c>
      <c r="E38" s="40" t="s">
        <v>29</v>
      </c>
      <c r="F38" s="40" t="s">
        <v>1</v>
      </c>
      <c r="G38" s="40" t="s">
        <v>60</v>
      </c>
      <c r="H38" s="40" t="s">
        <v>71</v>
      </c>
      <c r="I38" s="40" t="s">
        <v>30</v>
      </c>
      <c r="J38" s="104" t="s">
        <v>31</v>
      </c>
      <c r="K38" s="98" t="s">
        <v>74</v>
      </c>
      <c r="L38" s="99" t="s">
        <v>75</v>
      </c>
      <c r="M38" s="25"/>
    </row>
    <row r="39" spans="2:13" x14ac:dyDescent="0.25">
      <c r="B39" s="55">
        <v>1</v>
      </c>
      <c r="C39" s="62">
        <f>LOG(J10)</f>
        <v>-2</v>
      </c>
      <c r="D39" s="44">
        <f>EXP(C39*LN(10))</f>
        <v>9.999999999999995E-3</v>
      </c>
      <c r="E39" s="44">
        <f t="shared" ref="E39:E70" si="0">$G$12/SQRT(1+$G$13^2*D39^2)</f>
        <v>9.9995000374968761</v>
      </c>
      <c r="F39" s="44">
        <f>20*LOG(E39)</f>
        <v>19.999565727231374</v>
      </c>
      <c r="G39" s="45">
        <f>1</f>
        <v>1</v>
      </c>
      <c r="H39" s="44">
        <f>$G$13*D39</f>
        <v>9.999999999999995E-3</v>
      </c>
      <c r="I39" s="44">
        <f>-ATAN(H39)</f>
        <v>-9.9996666866652324E-3</v>
      </c>
      <c r="J39" s="10">
        <f>I39*180/PI()</f>
        <v>-0.5729386976834856</v>
      </c>
      <c r="K39" s="112">
        <f t="shared" ref="K39:K70" si="1">$G$12/(1+$G$13^2*D39^2)</f>
        <v>9.9990000999900008</v>
      </c>
      <c r="L39" s="15">
        <f t="shared" ref="L39:L70" si="2">-$G$12*$G$13*D39/(1+$G$13^2*D39^2)</f>
        <v>-9.9990000999899964E-2</v>
      </c>
      <c r="M39" s="36"/>
    </row>
    <row r="40" spans="2:13" x14ac:dyDescent="0.25">
      <c r="B40" s="42">
        <v>2</v>
      </c>
      <c r="C40" s="46">
        <f t="shared" ref="C40:C57" si="3">C39+($C$88-$C$39)/($B$88-$B$39)</f>
        <v>-1.9183673469387754</v>
      </c>
      <c r="D40" s="47">
        <f t="shared" ref="D40:D57" si="4">EXP(C40*LN(10))</f>
        <v>1.2067926406393288E-2</v>
      </c>
      <c r="E40" s="47">
        <f t="shared" si="0"/>
        <v>9.999271905287257</v>
      </c>
      <c r="F40" s="47">
        <f t="shared" ref="F40:F57" si="5">20*LOG(E40)</f>
        <v>19.999367561943885</v>
      </c>
      <c r="G40" s="48">
        <f>1</f>
        <v>1</v>
      </c>
      <c r="H40" s="47">
        <f t="shared" ref="H40:H88" si="6">$G$13*D40</f>
        <v>1.2067926406393288E-2</v>
      </c>
      <c r="I40" s="47">
        <f t="shared" ref="I40:I88" si="7">-ATAN(H40)</f>
        <v>-1.206734062070397E-2</v>
      </c>
      <c r="J40" s="11">
        <f t="shared" ref="J40:J57" si="8">I40*180/PI()</f>
        <v>-0.69140768751311654</v>
      </c>
      <c r="K40" s="113">
        <f t="shared" si="1"/>
        <v>9.9985438635867023</v>
      </c>
      <c r="L40" s="11">
        <f t="shared" si="2"/>
        <v>-0.12066169151685954</v>
      </c>
      <c r="M40" s="36"/>
    </row>
    <row r="41" spans="2:13" x14ac:dyDescent="0.25">
      <c r="B41" s="42">
        <v>3</v>
      </c>
      <c r="C41" s="46">
        <f t="shared" si="3"/>
        <v>-1.8367346938775508</v>
      </c>
      <c r="D41" s="47">
        <f t="shared" si="4"/>
        <v>1.4563484775012434E-2</v>
      </c>
      <c r="E41" s="47">
        <f t="shared" si="0"/>
        <v>9.998939693217455</v>
      </c>
      <c r="F41" s="47">
        <f t="shared" si="5"/>
        <v>19.999078980401404</v>
      </c>
      <c r="G41" s="48">
        <f>1</f>
        <v>1</v>
      </c>
      <c r="H41" s="47">
        <f t="shared" si="6"/>
        <v>1.4563484775012434E-2</v>
      </c>
      <c r="I41" s="47">
        <f t="shared" si="7"/>
        <v>-1.4562455291486139E-2</v>
      </c>
      <c r="J41" s="11">
        <f t="shared" si="8"/>
        <v>-0.83436722755010884</v>
      </c>
      <c r="K41" s="113">
        <f t="shared" si="1"/>
        <v>9.9978794988599571</v>
      </c>
      <c r="L41" s="11">
        <f t="shared" si="2"/>
        <v>-0.14560396586405591</v>
      </c>
      <c r="M41" s="36"/>
    </row>
    <row r="42" spans="2:13" x14ac:dyDescent="0.25">
      <c r="B42" s="42">
        <v>4</v>
      </c>
      <c r="C42" s="46">
        <f t="shared" si="3"/>
        <v>-1.7551020408163263</v>
      </c>
      <c r="D42" s="47">
        <f t="shared" si="4"/>
        <v>1.7575106248547925E-2</v>
      </c>
      <c r="E42" s="47">
        <f t="shared" si="0"/>
        <v>9.9984559358954943</v>
      </c>
      <c r="F42" s="47">
        <f t="shared" si="5"/>
        <v>19.998658739407137</v>
      </c>
      <c r="G42" s="48">
        <f>1</f>
        <v>1</v>
      </c>
      <c r="H42" s="47">
        <f t="shared" si="6"/>
        <v>1.7575106248547925E-2</v>
      </c>
      <c r="I42" s="47">
        <f t="shared" si="7"/>
        <v>-1.7573297025360764E-2</v>
      </c>
      <c r="J42" s="11">
        <f t="shared" si="8"/>
        <v>-1.0068757516829758</v>
      </c>
      <c r="K42" s="113">
        <f t="shared" si="1"/>
        <v>9.9969121102043843</v>
      </c>
      <c r="L42" s="11">
        <f t="shared" si="2"/>
        <v>-0.1756967924942375</v>
      </c>
      <c r="M42" s="36"/>
    </row>
    <row r="43" spans="2:13" x14ac:dyDescent="0.25">
      <c r="B43" s="42">
        <v>5</v>
      </c>
      <c r="C43" s="46">
        <f t="shared" si="3"/>
        <v>-1.6734693877551017</v>
      </c>
      <c r="D43" s="47">
        <f t="shared" si="4"/>
        <v>2.1209508879201918E-2</v>
      </c>
      <c r="E43" s="47">
        <f t="shared" si="0"/>
        <v>9.9977515422272756</v>
      </c>
      <c r="F43" s="47">
        <f t="shared" si="5"/>
        <v>19.998046794799826</v>
      </c>
      <c r="G43" s="48">
        <f>1</f>
        <v>1</v>
      </c>
      <c r="H43" s="47">
        <f t="shared" si="6"/>
        <v>2.1209508879201918E-2</v>
      </c>
      <c r="I43" s="47">
        <f t="shared" si="7"/>
        <v>-2.1206329419058551E-2</v>
      </c>
      <c r="J43" s="11">
        <f t="shared" si="8"/>
        <v>-1.21503317467617</v>
      </c>
      <c r="K43" s="113">
        <f t="shared" si="1"/>
        <v>9.9955035900107898</v>
      </c>
      <c r="L43" s="11">
        <f t="shared" si="2"/>
        <v>-0.2119997221444285</v>
      </c>
      <c r="M43" s="36"/>
    </row>
    <row r="44" spans="2:13" x14ac:dyDescent="0.25">
      <c r="B44" s="42">
        <v>6</v>
      </c>
      <c r="C44" s="46">
        <f t="shared" si="3"/>
        <v>-1.5918367346938771</v>
      </c>
      <c r="D44" s="47">
        <f t="shared" si="4"/>
        <v>2.5595479226995371E-2</v>
      </c>
      <c r="E44" s="47">
        <f t="shared" si="0"/>
        <v>9.9967259658128746</v>
      </c>
      <c r="F44" s="47">
        <f t="shared" si="5"/>
        <v>19.997155744403024</v>
      </c>
      <c r="G44" s="48">
        <f>1</f>
        <v>1</v>
      </c>
      <c r="H44" s="47">
        <f t="shared" si="6"/>
        <v>2.5595479226995371E-2</v>
      </c>
      <c r="I44" s="47">
        <f t="shared" si="7"/>
        <v>-2.5589891979927355E-2</v>
      </c>
      <c r="J44" s="11">
        <f t="shared" si="8"/>
        <v>-1.4661928086455116</v>
      </c>
      <c r="K44" s="113">
        <f t="shared" si="1"/>
        <v>9.9934530035557376</v>
      </c>
      <c r="L44" s="11">
        <f t="shared" si="2"/>
        <v>-0.25578721875846538</v>
      </c>
      <c r="M44" s="36"/>
    </row>
    <row r="45" spans="2:13" x14ac:dyDescent="0.25">
      <c r="B45" s="42">
        <v>7</v>
      </c>
      <c r="C45" s="46">
        <f t="shared" si="3"/>
        <v>-1.5102040816326525</v>
      </c>
      <c r="D45" s="47">
        <f t="shared" si="4"/>
        <v>3.0888435964774842E-2</v>
      </c>
      <c r="E45" s="47">
        <f t="shared" si="0"/>
        <v>9.9952329335245818</v>
      </c>
      <c r="F45" s="47">
        <f t="shared" si="5"/>
        <v>19.995858391425102</v>
      </c>
      <c r="G45" s="48">
        <f>1</f>
        <v>1</v>
      </c>
      <c r="H45" s="47">
        <f t="shared" si="6"/>
        <v>3.0888435964774842E-2</v>
      </c>
      <c r="I45" s="47">
        <f t="shared" si="7"/>
        <v>-3.0878618078807485E-2</v>
      </c>
      <c r="J45" s="11">
        <f t="shared" si="8"/>
        <v>-1.7692144931120313</v>
      </c>
      <c r="K45" s="113">
        <f t="shared" si="1"/>
        <v>9.990468139541445</v>
      </c>
      <c r="L45" s="11">
        <f t="shared" si="2"/>
        <v>-0.30858993538634916</v>
      </c>
      <c r="M45" s="36"/>
    </row>
    <row r="46" spans="2:13" x14ac:dyDescent="0.25">
      <c r="B46" s="42">
        <v>8</v>
      </c>
      <c r="C46" s="46">
        <f t="shared" si="3"/>
        <v>-1.4285714285714279</v>
      </c>
      <c r="D46" s="47">
        <f t="shared" si="4"/>
        <v>3.7275937203149444E-2</v>
      </c>
      <c r="E46" s="47">
        <f t="shared" si="0"/>
        <v>9.9930597542713731</v>
      </c>
      <c r="F46" s="47">
        <f t="shared" si="5"/>
        <v>19.993969686318934</v>
      </c>
      <c r="G46" s="48">
        <f>1</f>
        <v>1</v>
      </c>
      <c r="H46" s="47">
        <f t="shared" si="6"/>
        <v>3.7275937203149444E-2</v>
      </c>
      <c r="I46" s="47">
        <f t="shared" si="7"/>
        <v>-3.7258686666995174E-2</v>
      </c>
      <c r="J46" s="11">
        <f t="shared" si="8"/>
        <v>-2.1347654962191758</v>
      </c>
      <c r="K46" s="113">
        <f t="shared" si="1"/>
        <v>9.9861243252438232</v>
      </c>
      <c r="L46" s="11">
        <f t="shared" si="2"/>
        <v>-0.37224214325063187</v>
      </c>
      <c r="M46" s="36"/>
    </row>
    <row r="47" spans="2:13" x14ac:dyDescent="0.25">
      <c r="B47" s="42">
        <v>9</v>
      </c>
      <c r="C47" s="46">
        <f t="shared" si="3"/>
        <v>-1.3469387755102034</v>
      </c>
      <c r="D47" s="47">
        <f t="shared" si="4"/>
        <v>4.4984326689694515E-2</v>
      </c>
      <c r="E47" s="47">
        <f t="shared" si="0"/>
        <v>9.9898973818435373</v>
      </c>
      <c r="F47" s="47">
        <f t="shared" si="5"/>
        <v>19.991220541840985</v>
      </c>
      <c r="G47" s="48">
        <f>1</f>
        <v>1</v>
      </c>
      <c r="H47" s="47">
        <f t="shared" si="6"/>
        <v>4.4984326689694515E-2</v>
      </c>
      <c r="I47" s="47">
        <f t="shared" si="7"/>
        <v>-4.4954020205326517E-2</v>
      </c>
      <c r="J47" s="11">
        <f t="shared" si="8"/>
        <v>-2.5756756299110362</v>
      </c>
      <c r="K47" s="113">
        <f t="shared" si="1"/>
        <v>9.9798049699764384</v>
      </c>
      <c r="L47" s="11">
        <f t="shared" si="2"/>
        <v>-0.44893480706885708</v>
      </c>
      <c r="M47" s="36"/>
    </row>
    <row r="48" spans="2:13" x14ac:dyDescent="0.25">
      <c r="B48" s="42">
        <v>10</v>
      </c>
      <c r="C48" s="46">
        <f t="shared" si="3"/>
        <v>-1.2653061224489788</v>
      </c>
      <c r="D48" s="47">
        <f t="shared" si="4"/>
        <v>5.4286754393238698E-2</v>
      </c>
      <c r="E48" s="47">
        <f t="shared" si="0"/>
        <v>9.9852972308835959</v>
      </c>
      <c r="F48" s="47">
        <f t="shared" si="5"/>
        <v>19.98721993959029</v>
      </c>
      <c r="G48" s="48">
        <f>1</f>
        <v>1</v>
      </c>
      <c r="H48" s="47">
        <f t="shared" si="6"/>
        <v>5.4286754393238698E-2</v>
      </c>
      <c r="I48" s="47">
        <f t="shared" si="7"/>
        <v>-5.4233519868533642E-2</v>
      </c>
      <c r="J48" s="11">
        <f t="shared" si="8"/>
        <v>-3.1073517966058728</v>
      </c>
      <c r="K48" s="113">
        <f t="shared" si="1"/>
        <v>9.9706160789091598</v>
      </c>
      <c r="L48" s="11">
        <f t="shared" si="2"/>
        <v>-0.54127238622501828</v>
      </c>
      <c r="M48" s="36"/>
    </row>
    <row r="49" spans="2:21" x14ac:dyDescent="0.25">
      <c r="B49" s="42">
        <v>11</v>
      </c>
      <c r="C49" s="46">
        <f t="shared" si="3"/>
        <v>-1.1836734693877542</v>
      </c>
      <c r="D49" s="47">
        <f t="shared" si="4"/>
        <v>6.5512855685955218E-2</v>
      </c>
      <c r="E49" s="47">
        <f t="shared" si="0"/>
        <v>9.9786091601836198</v>
      </c>
      <c r="F49" s="47">
        <f t="shared" si="5"/>
        <v>19.981400252297949</v>
      </c>
      <c r="G49" s="48">
        <f>1</f>
        <v>1</v>
      </c>
      <c r="H49" s="47">
        <f t="shared" si="6"/>
        <v>6.5512855685955218E-2</v>
      </c>
      <c r="I49" s="47">
        <f t="shared" si="7"/>
        <v>-6.5419370683753933E-2</v>
      </c>
      <c r="J49" s="11">
        <f t="shared" si="8"/>
        <v>-3.7482538385809669</v>
      </c>
      <c r="K49" s="113">
        <f t="shared" si="1"/>
        <v>9.9572640771700431</v>
      </c>
      <c r="L49" s="11">
        <f t="shared" si="2"/>
        <v>-0.65232880451458708</v>
      </c>
      <c r="M49" s="36"/>
    </row>
    <row r="50" spans="2:21" x14ac:dyDescent="0.25">
      <c r="B50" s="42">
        <v>12</v>
      </c>
      <c r="C50" s="46">
        <f t="shared" si="3"/>
        <v>-1.1020408163265296</v>
      </c>
      <c r="D50" s="47">
        <f t="shared" si="4"/>
        <v>7.906043210907715E-2</v>
      </c>
      <c r="E50" s="47">
        <f t="shared" si="0"/>
        <v>9.9688929916301312</v>
      </c>
      <c r="F50" s="47">
        <f t="shared" si="5"/>
        <v>19.972938684148474</v>
      </c>
      <c r="G50" s="48">
        <f>1</f>
        <v>1</v>
      </c>
      <c r="H50" s="47">
        <f t="shared" si="6"/>
        <v>7.906043210907715E-2</v>
      </c>
      <c r="I50" s="47">
        <f t="shared" si="7"/>
        <v>-7.8896323354286632E-2</v>
      </c>
      <c r="J50" s="11">
        <f t="shared" si="8"/>
        <v>-4.5204263473000541</v>
      </c>
      <c r="K50" s="113">
        <f t="shared" si="1"/>
        <v>9.937882747857234</v>
      </c>
      <c r="L50" s="11">
        <f t="shared" si="2"/>
        <v>-0.78569330429493589</v>
      </c>
      <c r="M50" s="36"/>
    </row>
    <row r="51" spans="2:21" x14ac:dyDescent="0.25">
      <c r="B51" s="42">
        <v>13</v>
      </c>
      <c r="C51" s="46">
        <f t="shared" si="3"/>
        <v>-1.020408163265305</v>
      </c>
      <c r="D51" s="47">
        <f t="shared" si="4"/>
        <v>9.5409547634999592E-2</v>
      </c>
      <c r="E51" s="47">
        <f t="shared" si="0"/>
        <v>9.9547934935382294</v>
      </c>
      <c r="F51" s="47">
        <f t="shared" si="5"/>
        <v>19.960645105355866</v>
      </c>
      <c r="G51" s="48">
        <f>1</f>
        <v>1</v>
      </c>
      <c r="H51" s="47">
        <f t="shared" si="6"/>
        <v>9.5409547634999592E-2</v>
      </c>
      <c r="I51" s="47">
        <f t="shared" si="7"/>
        <v>-9.5121614843421479E-2</v>
      </c>
      <c r="J51" s="11">
        <f t="shared" si="8"/>
        <v>-5.450067070997016</v>
      </c>
      <c r="K51" s="113">
        <f t="shared" si="1"/>
        <v>9.9097913498991055</v>
      </c>
      <c r="L51" s="11">
        <f t="shared" si="2"/>
        <v>-0.94548870985110567</v>
      </c>
      <c r="M51" s="36"/>
    </row>
    <row r="52" spans="2:21" x14ac:dyDescent="0.25">
      <c r="B52" s="42">
        <v>14</v>
      </c>
      <c r="C52" s="46">
        <f t="shared" si="3"/>
        <v>-0.93877551020408057</v>
      </c>
      <c r="D52" s="47">
        <f t="shared" si="4"/>
        <v>0.11513953993264499</v>
      </c>
      <c r="E52" s="47">
        <f t="shared" si="0"/>
        <v>9.9343663005703373</v>
      </c>
      <c r="F52" s="47">
        <f t="shared" si="5"/>
        <v>19.942803385750093</v>
      </c>
      <c r="G52" s="48">
        <f>1</f>
        <v>1</v>
      </c>
      <c r="H52" s="47">
        <f t="shared" si="6"/>
        <v>0.11513953993264499</v>
      </c>
      <c r="I52" s="47">
        <f t="shared" si="7"/>
        <v>-0.11463474318958215</v>
      </c>
      <c r="J52" s="11">
        <f t="shared" si="8"/>
        <v>-6.568086970329114</v>
      </c>
      <c r="K52" s="113">
        <f t="shared" si="1"/>
        <v>9.8691633793907592</v>
      </c>
      <c r="L52" s="11">
        <f t="shared" si="2"/>
        <v>-1.1363309310231597</v>
      </c>
      <c r="M52" s="36"/>
    </row>
    <row r="53" spans="2:21" x14ac:dyDescent="0.25">
      <c r="B53" s="42">
        <v>15</v>
      </c>
      <c r="C53" s="46">
        <f t="shared" si="3"/>
        <v>-0.8571428571428561</v>
      </c>
      <c r="D53" s="47">
        <f t="shared" si="4"/>
        <v>0.13894954943731408</v>
      </c>
      <c r="E53" s="47">
        <f t="shared" si="0"/>
        <v>9.904840844476686</v>
      </c>
      <c r="F53" s="47">
        <f t="shared" si="5"/>
        <v>19.916950029756102</v>
      </c>
      <c r="G53" s="48">
        <f>1</f>
        <v>1</v>
      </c>
      <c r="H53" s="47">
        <f t="shared" si="6"/>
        <v>0.13894954943731408</v>
      </c>
      <c r="I53" s="47">
        <f t="shared" si="7"/>
        <v>-0.13806553570964675</v>
      </c>
      <c r="J53" s="11">
        <f t="shared" si="8"/>
        <v>-7.9105724923755139</v>
      </c>
      <c r="K53" s="113">
        <f t="shared" si="1"/>
        <v>9.8105872154413625</v>
      </c>
      <c r="L53" s="11">
        <f t="shared" si="2"/>
        <v>-1.3631766733010511</v>
      </c>
      <c r="M53" s="36"/>
    </row>
    <row r="54" spans="2:21" x14ac:dyDescent="0.25">
      <c r="B54" s="42">
        <v>16</v>
      </c>
      <c r="C54" s="46">
        <f t="shared" si="3"/>
        <v>-0.77551020408163163</v>
      </c>
      <c r="D54" s="47">
        <f t="shared" si="4"/>
        <v>0.16768329368110119</v>
      </c>
      <c r="E54" s="47">
        <f t="shared" si="0"/>
        <v>9.8623085296357758</v>
      </c>
      <c r="F54" s="47">
        <f t="shared" si="5"/>
        <v>19.879571695036841</v>
      </c>
      <c r="G54" s="48">
        <f>1</f>
        <v>1</v>
      </c>
      <c r="H54" s="47">
        <f t="shared" si="6"/>
        <v>0.16768329368110119</v>
      </c>
      <c r="I54" s="47">
        <f t="shared" si="7"/>
        <v>-0.16613766465788221</v>
      </c>
      <c r="J54" s="11">
        <f t="shared" si="8"/>
        <v>-9.518987003056429</v>
      </c>
      <c r="K54" s="113">
        <f t="shared" si="1"/>
        <v>9.7265129533726586</v>
      </c>
      <c r="L54" s="11">
        <f t="shared" si="2"/>
        <v>-1.6309737280534224</v>
      </c>
      <c r="M54" s="36"/>
    </row>
    <row r="55" spans="2:21" x14ac:dyDescent="0.25">
      <c r="B55" s="42">
        <v>17</v>
      </c>
      <c r="C55" s="46">
        <f t="shared" si="3"/>
        <v>-0.69387755102040716</v>
      </c>
      <c r="D55" s="47">
        <f t="shared" si="4"/>
        <v>0.20235896477251616</v>
      </c>
      <c r="E55" s="47">
        <f t="shared" si="0"/>
        <v>9.8013352079553719</v>
      </c>
      <c r="F55" s="47">
        <f t="shared" si="5"/>
        <v>19.825704848437987</v>
      </c>
      <c r="G55" s="48">
        <f>1</f>
        <v>1</v>
      </c>
      <c r="H55" s="47">
        <f t="shared" si="6"/>
        <v>0.20235896477251616</v>
      </c>
      <c r="I55" s="47">
        <f t="shared" si="7"/>
        <v>-0.19966276281168213</v>
      </c>
      <c r="J55" s="11">
        <f t="shared" si="8"/>
        <v>-11.439833635030991</v>
      </c>
      <c r="K55" s="113">
        <f t="shared" si="1"/>
        <v>9.606617185870558</v>
      </c>
      <c r="L55" s="11">
        <f t="shared" si="2"/>
        <v>-1.9439851086986288</v>
      </c>
      <c r="M55" s="36"/>
    </row>
    <row r="56" spans="2:21" x14ac:dyDescent="0.25">
      <c r="B56" s="42">
        <v>18</v>
      </c>
      <c r="C56" s="46">
        <f t="shared" si="3"/>
        <v>-0.61224489795918269</v>
      </c>
      <c r="D56" s="47">
        <f t="shared" si="4"/>
        <v>0.24420530945486563</v>
      </c>
      <c r="E56" s="47">
        <f t="shared" si="0"/>
        <v>9.7145256638924948</v>
      </c>
      <c r="F56" s="47">
        <f t="shared" si="5"/>
        <v>19.748431998699051</v>
      </c>
      <c r="G56" s="48">
        <f>1</f>
        <v>1</v>
      </c>
      <c r="H56" s="47">
        <f t="shared" si="6"/>
        <v>0.24420530945486563</v>
      </c>
      <c r="I56" s="47">
        <f t="shared" si="7"/>
        <v>-0.23951744481736165</v>
      </c>
      <c r="J56" s="11">
        <f t="shared" si="8"/>
        <v>-13.723338707792415</v>
      </c>
      <c r="K56" s="113">
        <f t="shared" si="1"/>
        <v>9.437200887442593</v>
      </c>
      <c r="L56" s="11">
        <f t="shared" si="2"/>
        <v>-2.3046145631056514</v>
      </c>
      <c r="M56" s="36"/>
    </row>
    <row r="57" spans="2:21" x14ac:dyDescent="0.25">
      <c r="B57" s="42">
        <v>19</v>
      </c>
      <c r="C57" s="46">
        <f t="shared" si="3"/>
        <v>-0.53061224489795822</v>
      </c>
      <c r="D57" s="47">
        <f t="shared" si="4"/>
        <v>0.29470517025518167</v>
      </c>
      <c r="E57" s="47">
        <f t="shared" si="0"/>
        <v>9.5921280536413143</v>
      </c>
      <c r="F57" s="47">
        <f t="shared" si="5"/>
        <v>19.638299358068132</v>
      </c>
      <c r="G57" s="48">
        <f>1</f>
        <v>1</v>
      </c>
      <c r="H57" s="47">
        <f t="shared" si="6"/>
        <v>0.29470517025518167</v>
      </c>
      <c r="I57" s="47">
        <f t="shared" si="7"/>
        <v>-0.2865921015483272</v>
      </c>
      <c r="J57" s="11">
        <f t="shared" si="8"/>
        <v>-16.420517860503853</v>
      </c>
      <c r="K57" s="113">
        <f t="shared" si="1"/>
        <v>9.2008920597452697</v>
      </c>
      <c r="L57" s="11">
        <f t="shared" si="2"/>
        <v>-2.7115504609667789</v>
      </c>
      <c r="M57" s="36"/>
    </row>
    <row r="58" spans="2:21" x14ac:dyDescent="0.25">
      <c r="B58" s="42">
        <v>20</v>
      </c>
      <c r="C58" s="46">
        <f t="shared" ref="C58:C87" si="9">C57+($C$88-$C$39)/($B$88-$B$39)</f>
        <v>-0.44897959183673375</v>
      </c>
      <c r="D58" s="47">
        <f t="shared" ref="D58:D87" si="10">EXP(C58*LN(10))</f>
        <v>0.35564803062231365</v>
      </c>
      <c r="E58" s="47">
        <f t="shared" si="0"/>
        <v>9.4218718480145824</v>
      </c>
      <c r="F58" s="47">
        <f t="shared" ref="F58:F87" si="11">20*LOG(E58)</f>
        <v>19.482743857355246</v>
      </c>
      <c r="G58" s="48">
        <f>1</f>
        <v>1</v>
      </c>
      <c r="H58" s="47">
        <f t="shared" si="6"/>
        <v>0.35564803062231365</v>
      </c>
      <c r="I58" s="47">
        <f t="shared" si="7"/>
        <v>-0.34169758470470063</v>
      </c>
      <c r="J58" s="11">
        <f t="shared" ref="J58:J87" si="12">I58*180/PI()</f>
        <v>-19.577829473393297</v>
      </c>
      <c r="K58" s="113">
        <f t="shared" si="1"/>
        <v>8.8771669120409715</v>
      </c>
      <c r="L58" s="11">
        <f t="shared" si="2"/>
        <v>-3.1571469297729369</v>
      </c>
      <c r="M58" s="36"/>
    </row>
    <row r="59" spans="2:21" x14ac:dyDescent="0.25">
      <c r="B59" s="42">
        <v>21</v>
      </c>
      <c r="C59" s="46">
        <f t="shared" si="9"/>
        <v>-0.36734693877550928</v>
      </c>
      <c r="D59" s="47">
        <f t="shared" si="10"/>
        <v>0.42919342601287863</v>
      </c>
      <c r="E59" s="47">
        <f t="shared" si="0"/>
        <v>9.1893795286032027</v>
      </c>
      <c r="F59" s="47">
        <f t="shared" si="11"/>
        <v>19.265723772007568</v>
      </c>
      <c r="G59" s="48">
        <f>1</f>
        <v>1</v>
      </c>
      <c r="H59" s="47">
        <f t="shared" si="6"/>
        <v>0.42919342601287863</v>
      </c>
      <c r="I59" s="47">
        <f t="shared" si="7"/>
        <v>-0.40541714851911376</v>
      </c>
      <c r="J59" s="11">
        <f t="shared" si="12"/>
        <v>-23.228691552373693</v>
      </c>
      <c r="K59" s="113">
        <f t="shared" si="1"/>
        <v>8.4444696120711633</v>
      </c>
      <c r="L59" s="11">
        <f t="shared" si="2"/>
        <v>-3.6243108436664668</v>
      </c>
      <c r="M59" s="36"/>
    </row>
    <row r="60" spans="2:21" x14ac:dyDescent="0.25">
      <c r="B60" s="42">
        <v>22</v>
      </c>
      <c r="C60" s="46">
        <f t="shared" si="9"/>
        <v>-0.28571428571428481</v>
      </c>
      <c r="D60" s="47">
        <f t="shared" si="10"/>
        <v>0.51794746792312218</v>
      </c>
      <c r="E60" s="47">
        <f t="shared" si="0"/>
        <v>8.8796165539400072</v>
      </c>
      <c r="F60" s="47">
        <f t="shared" si="11"/>
        <v>18.967884243266866</v>
      </c>
      <c r="G60" s="48">
        <f>1</f>
        <v>1</v>
      </c>
      <c r="H60" s="47">
        <f t="shared" si="6"/>
        <v>0.51794746792312218</v>
      </c>
      <c r="I60" s="47">
        <f t="shared" si="7"/>
        <v>-0.47790227675702823</v>
      </c>
      <c r="J60" s="11">
        <f t="shared" si="12"/>
        <v>-27.381783477870737</v>
      </c>
      <c r="K60" s="113">
        <f t="shared" si="1"/>
        <v>7.8847590145005402</v>
      </c>
      <c r="L60" s="11">
        <f t="shared" si="2"/>
        <v>-4.0838909667445664</v>
      </c>
      <c r="M60" s="36"/>
    </row>
    <row r="61" spans="2:21" x14ac:dyDescent="0.25">
      <c r="B61" s="42">
        <v>23</v>
      </c>
      <c r="C61" s="46">
        <f t="shared" si="9"/>
        <v>-0.20408163265306034</v>
      </c>
      <c r="D61" s="47">
        <f t="shared" si="10"/>
        <v>0.6250551925273985</v>
      </c>
      <c r="E61" s="47">
        <f t="shared" si="0"/>
        <v>8.4797726872660668</v>
      </c>
      <c r="F61" s="47">
        <f t="shared" si="11"/>
        <v>18.567684210254139</v>
      </c>
      <c r="G61" s="48">
        <f>1</f>
        <v>1</v>
      </c>
      <c r="H61" s="47">
        <f t="shared" si="6"/>
        <v>0.6250551925273985</v>
      </c>
      <c r="I61" s="47">
        <f t="shared" si="7"/>
        <v>-0.55863900336752148</v>
      </c>
      <c r="J61" s="11">
        <f t="shared" si="12"/>
        <v>-32.00765716435356</v>
      </c>
      <c r="K61" s="113">
        <f t="shared" si="1"/>
        <v>7.1906544827703573</v>
      </c>
      <c r="L61" s="11">
        <f t="shared" si="2"/>
        <v>-4.4945559221260272</v>
      </c>
      <c r="M61" s="36"/>
    </row>
    <row r="62" spans="2:21" ht="15.75" thickBot="1" x14ac:dyDescent="0.3">
      <c r="B62" s="42">
        <v>24</v>
      </c>
      <c r="C62" s="46">
        <f t="shared" si="9"/>
        <v>-0.12244897959183586</v>
      </c>
      <c r="D62" s="47">
        <f t="shared" si="10"/>
        <v>0.75431200633546325</v>
      </c>
      <c r="E62" s="47">
        <f t="shared" si="0"/>
        <v>7.9834458213608936</v>
      </c>
      <c r="F62" s="47">
        <f t="shared" si="11"/>
        <v>18.043807647053821</v>
      </c>
      <c r="G62" s="48">
        <f>1</f>
        <v>1</v>
      </c>
      <c r="H62" s="47">
        <f t="shared" si="6"/>
        <v>0.75431200633546325</v>
      </c>
      <c r="I62" s="47">
        <f t="shared" si="7"/>
        <v>-0.64625508579133151</v>
      </c>
      <c r="J62" s="11">
        <f t="shared" si="12"/>
        <v>-37.027688904708228</v>
      </c>
      <c r="K62" s="113">
        <f t="shared" si="1"/>
        <v>6.3735407182604726</v>
      </c>
      <c r="L62" s="11">
        <f t="shared" si="2"/>
        <v>-4.8076382866518266</v>
      </c>
      <c r="M62" s="36"/>
    </row>
    <row r="63" spans="2:21" ht="15.75" thickBot="1" x14ac:dyDescent="0.3">
      <c r="B63" s="42">
        <v>25</v>
      </c>
      <c r="C63" s="46">
        <f t="shared" si="9"/>
        <v>-4.0816326530611374E-2</v>
      </c>
      <c r="D63" s="47">
        <f t="shared" si="10"/>
        <v>0.91029817799152368</v>
      </c>
      <c r="E63" s="47">
        <f t="shared" si="0"/>
        <v>7.3949554679932357</v>
      </c>
      <c r="F63" s="47">
        <f t="shared" si="11"/>
        <v>17.378711260875836</v>
      </c>
      <c r="G63" s="48">
        <f>1</f>
        <v>1</v>
      </c>
      <c r="H63" s="47">
        <f t="shared" si="6"/>
        <v>0.91029817799152368</v>
      </c>
      <c r="I63" s="47">
        <f t="shared" si="7"/>
        <v>-0.73847565644992552</v>
      </c>
      <c r="J63" s="11">
        <f t="shared" si="12"/>
        <v>-42.311538387733663</v>
      </c>
      <c r="K63" s="113">
        <f t="shared" si="1"/>
        <v>5.4685366373603062</v>
      </c>
      <c r="L63" s="11">
        <f t="shared" si="2"/>
        <v>-4.9779989372689801</v>
      </c>
      <c r="M63" s="36"/>
      <c r="T63" s="23" t="s">
        <v>38</v>
      </c>
      <c r="U63" s="24">
        <v>2</v>
      </c>
    </row>
    <row r="64" spans="2:21" ht="15.75" thickBot="1" x14ac:dyDescent="0.3">
      <c r="B64" s="42">
        <v>26</v>
      </c>
      <c r="C64" s="46">
        <f t="shared" si="9"/>
        <v>4.0816326530613109E-2</v>
      </c>
      <c r="D64" s="47">
        <f t="shared" si="10"/>
        <v>1.0985411419875604</v>
      </c>
      <c r="E64" s="47">
        <f t="shared" si="0"/>
        <v>6.7316144888426832</v>
      </c>
      <c r="F64" s="47">
        <f t="shared" si="11"/>
        <v>16.562384730263592</v>
      </c>
      <c r="G64" s="48">
        <f>1</f>
        <v>1</v>
      </c>
      <c r="H64" s="47">
        <f t="shared" si="6"/>
        <v>1.0985411419875604</v>
      </c>
      <c r="I64" s="47">
        <f t="shared" si="7"/>
        <v>-0.83232067034497315</v>
      </c>
      <c r="J64" s="11">
        <f t="shared" si="12"/>
        <v>-47.688461612266458</v>
      </c>
      <c r="K64" s="113">
        <f t="shared" si="1"/>
        <v>4.5314633626396743</v>
      </c>
      <c r="L64" s="11">
        <f t="shared" si="2"/>
        <v>-4.9779989372689784</v>
      </c>
      <c r="M64" s="36"/>
      <c r="O64" s="52" t="s">
        <v>5</v>
      </c>
      <c r="P64" s="53" t="s">
        <v>2</v>
      </c>
      <c r="Q64" s="40" t="s">
        <v>36</v>
      </c>
      <c r="R64" s="41" t="s">
        <v>37</v>
      </c>
    </row>
    <row r="65" spans="2:18" x14ac:dyDescent="0.25">
      <c r="B65" s="42">
        <v>27</v>
      </c>
      <c r="C65" s="46">
        <f t="shared" si="9"/>
        <v>0.12244897959183759</v>
      </c>
      <c r="D65" s="47">
        <f t="shared" si="10"/>
        <v>1.3257113655901118</v>
      </c>
      <c r="E65" s="47">
        <f t="shared" si="0"/>
        <v>6.022009034981191</v>
      </c>
      <c r="F65" s="47">
        <f t="shared" si="11"/>
        <v>15.59482805521708</v>
      </c>
      <c r="G65" s="48">
        <f>1</f>
        <v>1</v>
      </c>
      <c r="H65" s="47">
        <f t="shared" si="6"/>
        <v>1.3257113655901118</v>
      </c>
      <c r="I65" s="47">
        <f t="shared" si="7"/>
        <v>-0.92454124100356705</v>
      </c>
      <c r="J65" s="11">
        <f t="shared" si="12"/>
        <v>-52.972311095291886</v>
      </c>
      <c r="K65" s="113">
        <f t="shared" si="1"/>
        <v>3.6264592817395096</v>
      </c>
      <c r="L65" s="11">
        <f t="shared" si="2"/>
        <v>-4.8076382866518212</v>
      </c>
      <c r="M65" s="36"/>
      <c r="O65" s="38">
        <v>1</v>
      </c>
      <c r="P65" s="43">
        <v>0</v>
      </c>
      <c r="Q65" s="45">
        <f t="shared" ref="Q65:Q96" si="13">$C$23*SIN($C$24*P65)</f>
        <v>0</v>
      </c>
      <c r="R65" s="10">
        <f t="shared" ref="R65:R96" si="14">$L$29*SIN($C$24*P65+$L$31)</f>
        <v>-19.801980198019805</v>
      </c>
    </row>
    <row r="66" spans="2:18" x14ac:dyDescent="0.25">
      <c r="B66" s="42">
        <v>28</v>
      </c>
      <c r="C66" s="46">
        <f t="shared" si="9"/>
        <v>0.20408163265306206</v>
      </c>
      <c r="D66" s="47">
        <f t="shared" si="10"/>
        <v>1.5998587196060614</v>
      </c>
      <c r="E66" s="47">
        <f t="shared" si="0"/>
        <v>5.3003259496276511</v>
      </c>
      <c r="F66" s="47">
        <f t="shared" si="11"/>
        <v>14.486051557192907</v>
      </c>
      <c r="G66" s="48">
        <f>1</f>
        <v>1</v>
      </c>
      <c r="H66" s="47">
        <f t="shared" si="6"/>
        <v>1.5998587196060614</v>
      </c>
      <c r="I66" s="47">
        <f t="shared" si="7"/>
        <v>-1.0121573234273769</v>
      </c>
      <c r="J66" s="11">
        <f t="shared" si="12"/>
        <v>-57.992342835646532</v>
      </c>
      <c r="K66" s="113">
        <f t="shared" si="1"/>
        <v>2.8093455172296267</v>
      </c>
      <c r="L66" s="11">
        <f t="shared" si="2"/>
        <v>-4.4945559221260183</v>
      </c>
      <c r="M66" s="36"/>
      <c r="O66" s="42">
        <v>2</v>
      </c>
      <c r="P66" s="46">
        <f t="shared" ref="P66:P113" si="15">P65+$P$114/($O$114-$O$65)</f>
        <v>2.564565431501872E-2</v>
      </c>
      <c r="Q66" s="47">
        <f t="shared" si="13"/>
        <v>5.0730916781901474</v>
      </c>
      <c r="R66" s="11">
        <f t="shared" si="14"/>
        <v>-18.652067418773839</v>
      </c>
    </row>
    <row r="67" spans="2:18" x14ac:dyDescent="0.25">
      <c r="B67" s="42">
        <v>29</v>
      </c>
      <c r="C67" s="46">
        <f t="shared" si="9"/>
        <v>0.28571428571428653</v>
      </c>
      <c r="D67" s="47">
        <f t="shared" si="10"/>
        <v>1.9306977288832539</v>
      </c>
      <c r="E67" s="47">
        <f t="shared" si="0"/>
        <v>4.5991749102414516</v>
      </c>
      <c r="F67" s="47">
        <f t="shared" si="11"/>
        <v>13.253598528981144</v>
      </c>
      <c r="G67" s="48">
        <f>1</f>
        <v>1</v>
      </c>
      <c r="H67" s="47">
        <f t="shared" si="6"/>
        <v>1.9306977288832539</v>
      </c>
      <c r="I67" s="47">
        <f t="shared" si="7"/>
        <v>-1.0928940500378701</v>
      </c>
      <c r="J67" s="11">
        <f t="shared" si="12"/>
        <v>-62.618216522129366</v>
      </c>
      <c r="K67" s="113">
        <f t="shared" si="1"/>
        <v>2.1152409854994465</v>
      </c>
      <c r="L67" s="11">
        <f t="shared" si="2"/>
        <v>-4.0838909667445566</v>
      </c>
      <c r="M67" s="36"/>
      <c r="O67" s="42">
        <v>3</v>
      </c>
      <c r="P67" s="46">
        <f t="shared" si="15"/>
        <v>5.129130863003744E-2</v>
      </c>
      <c r="Q67" s="47">
        <f t="shared" si="13"/>
        <v>9.8143510400787566</v>
      </c>
      <c r="R67" s="11">
        <f t="shared" si="14"/>
        <v>-16.28211780045536</v>
      </c>
    </row>
    <row r="68" spans="2:18" x14ac:dyDescent="0.25">
      <c r="B68" s="42">
        <v>30</v>
      </c>
      <c r="C68" s="46">
        <f t="shared" si="9"/>
        <v>0.367346938775511</v>
      </c>
      <c r="D68" s="47">
        <f t="shared" si="10"/>
        <v>2.3299518105153765</v>
      </c>
      <c r="E68" s="47">
        <f t="shared" si="0"/>
        <v>3.9440212828138077</v>
      </c>
      <c r="F68" s="47">
        <f t="shared" si="11"/>
        <v>11.918784996497354</v>
      </c>
      <c r="G68" s="48">
        <f>1</f>
        <v>1</v>
      </c>
      <c r="H68" s="47">
        <f t="shared" si="6"/>
        <v>2.3299518105153765</v>
      </c>
      <c r="I68" s="47">
        <f t="shared" si="7"/>
        <v>-1.1653791782757843</v>
      </c>
      <c r="J68" s="11">
        <f t="shared" si="12"/>
        <v>-66.771308447626396</v>
      </c>
      <c r="K68" s="113">
        <f t="shared" si="1"/>
        <v>1.5555303879288274</v>
      </c>
      <c r="L68" s="11">
        <f t="shared" si="2"/>
        <v>-3.6243108436664571</v>
      </c>
      <c r="M68" s="36"/>
      <c r="O68" s="42">
        <v>4</v>
      </c>
      <c r="P68" s="46">
        <f t="shared" si="15"/>
        <v>7.6936962945056156E-2</v>
      </c>
      <c r="Q68" s="47">
        <f t="shared" si="13"/>
        <v>13.913651012069728</v>
      </c>
      <c r="R68" s="11">
        <f t="shared" si="14"/>
        <v>-12.847150396779785</v>
      </c>
    </row>
    <row r="69" spans="2:18" x14ac:dyDescent="0.25">
      <c r="B69" s="42">
        <v>31</v>
      </c>
      <c r="C69" s="46">
        <f t="shared" si="9"/>
        <v>0.44897959183673547</v>
      </c>
      <c r="D69" s="47">
        <f t="shared" si="10"/>
        <v>2.811768697974236</v>
      </c>
      <c r="E69" s="47">
        <f t="shared" si="0"/>
        <v>3.3508701675221926</v>
      </c>
      <c r="F69" s="47">
        <f t="shared" si="11"/>
        <v>10.503152020620538</v>
      </c>
      <c r="G69" s="48">
        <f>1</f>
        <v>1</v>
      </c>
      <c r="H69" s="47">
        <f t="shared" si="6"/>
        <v>2.811768697974236</v>
      </c>
      <c r="I69" s="47">
        <f t="shared" si="7"/>
        <v>-1.2290987420901973</v>
      </c>
      <c r="J69" s="11">
        <f t="shared" si="12"/>
        <v>-70.422170526606777</v>
      </c>
      <c r="K69" s="113">
        <f t="shared" si="1"/>
        <v>1.1228330879590207</v>
      </c>
      <c r="L69" s="11">
        <f t="shared" si="2"/>
        <v>-3.1571469297729267</v>
      </c>
      <c r="M69" s="36"/>
      <c r="O69" s="42">
        <v>5</v>
      </c>
      <c r="P69" s="46">
        <f t="shared" si="15"/>
        <v>0.10258261726007488</v>
      </c>
      <c r="Q69" s="47">
        <f t="shared" si="13"/>
        <v>17.102855260106921</v>
      </c>
      <c r="R69" s="11">
        <f t="shared" si="14"/>
        <v>-8.5718473665344685</v>
      </c>
    </row>
    <row r="70" spans="2:18" x14ac:dyDescent="0.25">
      <c r="B70" s="42">
        <v>32</v>
      </c>
      <c r="C70" s="46">
        <f t="shared" si="9"/>
        <v>0.53061224489795999</v>
      </c>
      <c r="D70" s="47">
        <f t="shared" si="10"/>
        <v>3.3932217718953352</v>
      </c>
      <c r="E70" s="47">
        <f t="shared" si="0"/>
        <v>2.8268497311578571</v>
      </c>
      <c r="F70" s="47">
        <f t="shared" si="11"/>
        <v>9.0260544601089308</v>
      </c>
      <c r="G70" s="48">
        <f>1</f>
        <v>1</v>
      </c>
      <c r="H70" s="47">
        <f t="shared" si="6"/>
        <v>3.3932217718953352</v>
      </c>
      <c r="I70" s="47">
        <f t="shared" si="7"/>
        <v>-1.2842042252465704</v>
      </c>
      <c r="J70" s="11">
        <f t="shared" si="12"/>
        <v>-73.579482139496207</v>
      </c>
      <c r="K70" s="113">
        <f t="shared" si="1"/>
        <v>0.79910794025472498</v>
      </c>
      <c r="L70" s="11">
        <f t="shared" si="2"/>
        <v>-2.7115504609667695</v>
      </c>
      <c r="M70" s="36"/>
      <c r="O70" s="42">
        <v>6</v>
      </c>
      <c r="P70" s="46">
        <f t="shared" si="15"/>
        <v>0.12822827157509359</v>
      </c>
      <c r="Q70" s="47">
        <f t="shared" si="13"/>
        <v>19.17335706073321</v>
      </c>
      <c r="R70" s="11">
        <f t="shared" si="14"/>
        <v>-3.7358574520270644</v>
      </c>
    </row>
    <row r="71" spans="2:18" x14ac:dyDescent="0.25">
      <c r="B71" s="42">
        <v>33</v>
      </c>
      <c r="C71" s="46">
        <f t="shared" si="9"/>
        <v>0.61224489795918446</v>
      </c>
      <c r="D71" s="47">
        <f t="shared" si="10"/>
        <v>4.0949150623804327</v>
      </c>
      <c r="E71" s="47">
        <f t="shared" ref="E71:E88" si="16">$G$12/SQRT(1+$G$13^2*D71^2)</f>
        <v>2.3723387459580918</v>
      </c>
      <c r="F71" s="47">
        <f t="shared" si="11"/>
        <v>7.5035340395153618</v>
      </c>
      <c r="G71" s="48">
        <f>1</f>
        <v>1</v>
      </c>
      <c r="H71" s="47">
        <f t="shared" si="6"/>
        <v>4.0949150623804327</v>
      </c>
      <c r="I71" s="47">
        <f t="shared" si="7"/>
        <v>-1.3312788819775359</v>
      </c>
      <c r="J71" s="11">
        <f t="shared" si="12"/>
        <v>-76.276661292207635</v>
      </c>
      <c r="K71" s="113">
        <f t="shared" ref="K71:K88" si="17">$G$12/(1+$G$13^2*D71^2)</f>
        <v>0.56279911255740123</v>
      </c>
      <c r="L71" s="11">
        <f t="shared" ref="L71:L88" si="18">-$G$12*$G$13*D71/(1+$G$13^2*D71^2)</f>
        <v>-2.3046145631056429</v>
      </c>
      <c r="M71" s="36"/>
      <c r="O71" s="42">
        <v>7</v>
      </c>
      <c r="P71" s="46">
        <f t="shared" si="15"/>
        <v>0.15387392589011231</v>
      </c>
      <c r="Q71" s="47">
        <f t="shared" si="13"/>
        <v>19.989724324013757</v>
      </c>
      <c r="R71" s="11">
        <f t="shared" si="14"/>
        <v>1.3444959217507593</v>
      </c>
    </row>
    <row r="72" spans="2:18" x14ac:dyDescent="0.25">
      <c r="B72" s="42">
        <v>34</v>
      </c>
      <c r="C72" s="46">
        <f t="shared" si="9"/>
        <v>0.69387755102040893</v>
      </c>
      <c r="D72" s="47">
        <f t="shared" si="10"/>
        <v>4.9417133613238438</v>
      </c>
      <c r="E72" s="47">
        <f t="shared" si="16"/>
        <v>1.9833880460702558</v>
      </c>
      <c r="F72" s="47">
        <f t="shared" si="11"/>
        <v>5.9481538280298096</v>
      </c>
      <c r="G72" s="48">
        <f>1</f>
        <v>1</v>
      </c>
      <c r="H72" s="47">
        <f t="shared" si="6"/>
        <v>4.9417133613238438</v>
      </c>
      <c r="I72" s="47">
        <f t="shared" si="7"/>
        <v>-1.3711335639832152</v>
      </c>
      <c r="J72" s="11">
        <f t="shared" si="12"/>
        <v>-78.560166364969049</v>
      </c>
      <c r="K72" s="113">
        <f t="shared" si="17"/>
        <v>0.39338281412943865</v>
      </c>
      <c r="L72" s="11">
        <f t="shared" si="18"/>
        <v>-1.9439851086986211</v>
      </c>
      <c r="M72" s="36"/>
      <c r="O72" s="42">
        <v>8</v>
      </c>
      <c r="P72" s="46">
        <f t="shared" si="15"/>
        <v>0.17951958020513104</v>
      </c>
      <c r="Q72" s="47">
        <f t="shared" si="13"/>
        <v>19.498558243636474</v>
      </c>
      <c r="R72" s="11">
        <f t="shared" si="14"/>
        <v>6.336905448999933</v>
      </c>
    </row>
    <row r="73" spans="2:18" x14ac:dyDescent="0.25">
      <c r="B73" s="42">
        <v>35</v>
      </c>
      <c r="C73" s="46">
        <f t="shared" si="9"/>
        <v>0.7755102040816334</v>
      </c>
      <c r="D73" s="47">
        <f t="shared" si="10"/>
        <v>5.9636233165946537</v>
      </c>
      <c r="E73" s="47">
        <f t="shared" si="16"/>
        <v>1.6537443775485383</v>
      </c>
      <c r="F73" s="47">
        <f t="shared" si="11"/>
        <v>4.3693676134041741</v>
      </c>
      <c r="G73" s="48">
        <f>1</f>
        <v>1</v>
      </c>
      <c r="H73" s="47">
        <f t="shared" si="6"/>
        <v>5.9636233165946537</v>
      </c>
      <c r="I73" s="47">
        <f t="shared" si="7"/>
        <v>-1.4046586621370152</v>
      </c>
      <c r="J73" s="11">
        <f t="shared" si="12"/>
        <v>-80.481012996943619</v>
      </c>
      <c r="K73" s="113">
        <f t="shared" si="17"/>
        <v>0.2734870466273403</v>
      </c>
      <c r="L73" s="11">
        <f t="shared" si="18"/>
        <v>-1.6309737280534158</v>
      </c>
      <c r="M73" s="36"/>
      <c r="O73" s="42">
        <v>9</v>
      </c>
      <c r="P73" s="46">
        <f t="shared" si="15"/>
        <v>0.20516523452014976</v>
      </c>
      <c r="Q73" s="47">
        <f t="shared" si="13"/>
        <v>17.731986127460001</v>
      </c>
      <c r="R73" s="11">
        <f t="shared" si="14"/>
        <v>10.914816255012575</v>
      </c>
    </row>
    <row r="74" spans="2:18" x14ac:dyDescent="0.25">
      <c r="B74" s="42">
        <v>36</v>
      </c>
      <c r="C74" s="46">
        <f t="shared" si="9"/>
        <v>0.85714285714285787</v>
      </c>
      <c r="D74" s="47">
        <f t="shared" si="10"/>
        <v>7.1968567300115343</v>
      </c>
      <c r="E74" s="47">
        <f t="shared" si="16"/>
        <v>1.3762731725883353</v>
      </c>
      <c r="F74" s="47">
        <f t="shared" si="11"/>
        <v>2.7740928868989423</v>
      </c>
      <c r="G74" s="48">
        <f>1</f>
        <v>1</v>
      </c>
      <c r="H74" s="47">
        <f t="shared" si="6"/>
        <v>7.1968567300115343</v>
      </c>
      <c r="I74" s="47">
        <f t="shared" si="7"/>
        <v>-1.4327307910852505</v>
      </c>
      <c r="J74" s="11">
        <f t="shared" si="12"/>
        <v>-82.089427507624521</v>
      </c>
      <c r="K74" s="113">
        <f t="shared" si="17"/>
        <v>0.18941278455863617</v>
      </c>
      <c r="L74" s="11">
        <f t="shared" si="18"/>
        <v>-1.3631766733010453</v>
      </c>
      <c r="M74" s="36"/>
      <c r="O74" s="42">
        <v>10</v>
      </c>
      <c r="P74" s="46">
        <f t="shared" si="15"/>
        <v>0.23081088883516848</v>
      </c>
      <c r="Q74" s="47">
        <f t="shared" si="13"/>
        <v>14.80555994150631</v>
      </c>
      <c r="R74" s="11">
        <f t="shared" si="14"/>
        <v>14.778785939977197</v>
      </c>
    </row>
    <row r="75" spans="2:18" x14ac:dyDescent="0.25">
      <c r="B75" s="42">
        <v>37</v>
      </c>
      <c r="C75" s="46">
        <f t="shared" si="9"/>
        <v>0.93877551020408234</v>
      </c>
      <c r="D75" s="47">
        <f t="shared" si="10"/>
        <v>8.6851137375135412</v>
      </c>
      <c r="E75" s="47">
        <f t="shared" si="16"/>
        <v>1.1438383653700366</v>
      </c>
      <c r="F75" s="47">
        <f t="shared" si="11"/>
        <v>1.1672931816684453</v>
      </c>
      <c r="G75" s="48">
        <f>1</f>
        <v>1</v>
      </c>
      <c r="H75" s="47">
        <f t="shared" si="6"/>
        <v>8.6851137375135412</v>
      </c>
      <c r="I75" s="47">
        <f t="shared" si="7"/>
        <v>-1.456161583605315</v>
      </c>
      <c r="J75" s="11">
        <f t="shared" si="12"/>
        <v>-83.431913029670909</v>
      </c>
      <c r="K75" s="113">
        <f t="shared" si="17"/>
        <v>0.13083662060923976</v>
      </c>
      <c r="L75" s="11">
        <f t="shared" si="18"/>
        <v>-1.1363309310231553</v>
      </c>
      <c r="M75" s="36"/>
      <c r="O75" s="42">
        <v>11</v>
      </c>
      <c r="P75" s="46">
        <f t="shared" si="15"/>
        <v>0.25645654315018718</v>
      </c>
      <c r="Q75" s="47">
        <f t="shared" si="13"/>
        <v>10.91069802421098</v>
      </c>
      <c r="R75" s="11">
        <f t="shared" si="14"/>
        <v>17.676071188374163</v>
      </c>
    </row>
    <row r="76" spans="2:18" x14ac:dyDescent="0.25">
      <c r="B76" s="42">
        <v>38</v>
      </c>
      <c r="C76" s="46">
        <f t="shared" si="9"/>
        <v>1.0204081632653068</v>
      </c>
      <c r="D76" s="47">
        <f t="shared" si="10"/>
        <v>10.481131341546877</v>
      </c>
      <c r="E76" s="47">
        <f t="shared" si="16"/>
        <v>0.94978234401831585</v>
      </c>
      <c r="F76" s="47">
        <f t="shared" si="11"/>
        <v>-0.44751815995027133</v>
      </c>
      <c r="G76" s="48">
        <f>1</f>
        <v>1</v>
      </c>
      <c r="H76" s="47">
        <f t="shared" si="6"/>
        <v>10.481131341546877</v>
      </c>
      <c r="I76" s="47">
        <f t="shared" si="7"/>
        <v>-1.4756747119514755</v>
      </c>
      <c r="J76" s="11">
        <f t="shared" si="12"/>
        <v>-84.54993292900302</v>
      </c>
      <c r="K76" s="113">
        <f t="shared" si="17"/>
        <v>9.0208650100892671E-2</v>
      </c>
      <c r="L76" s="11">
        <f t="shared" si="18"/>
        <v>-0.945488709851102</v>
      </c>
      <c r="M76" s="36"/>
      <c r="O76" s="42">
        <v>12</v>
      </c>
      <c r="P76" s="46">
        <f t="shared" si="15"/>
        <v>0.28210219746520587</v>
      </c>
      <c r="Q76" s="47">
        <f t="shared" si="13"/>
        <v>6.3021643604724256</v>
      </c>
      <c r="R76" s="11">
        <f t="shared" si="14"/>
        <v>19.417159778475856</v>
      </c>
    </row>
    <row r="77" spans="2:18" x14ac:dyDescent="0.25">
      <c r="B77" s="42">
        <v>39</v>
      </c>
      <c r="C77" s="46">
        <f t="shared" si="9"/>
        <v>1.1020408163265314</v>
      </c>
      <c r="D77" s="47">
        <f t="shared" si="10"/>
        <v>12.648552168552987</v>
      </c>
      <c r="E77" s="47">
        <f t="shared" si="16"/>
        <v>0.78814498756742579</v>
      </c>
      <c r="F77" s="47">
        <f t="shared" si="11"/>
        <v>-2.0678776423821548</v>
      </c>
      <c r="G77" s="48">
        <f>1</f>
        <v>1</v>
      </c>
      <c r="H77" s="47">
        <f t="shared" si="6"/>
        <v>12.648552168552987</v>
      </c>
      <c r="I77" s="47">
        <f t="shared" si="7"/>
        <v>-1.4919000034406102</v>
      </c>
      <c r="J77" s="11">
        <f t="shared" si="12"/>
        <v>-85.479573652699955</v>
      </c>
      <c r="K77" s="113">
        <f t="shared" si="17"/>
        <v>6.2117252142765783E-2</v>
      </c>
      <c r="L77" s="11">
        <f t="shared" si="18"/>
        <v>-0.78569330429493289</v>
      </c>
      <c r="M77" s="36"/>
      <c r="O77" s="42">
        <v>13</v>
      </c>
      <c r="P77" s="46">
        <f t="shared" si="15"/>
        <v>0.30774785178022457</v>
      </c>
      <c r="Q77" s="47">
        <f t="shared" si="13"/>
        <v>1.2814043996142734</v>
      </c>
      <c r="R77" s="11">
        <f t="shared" si="14"/>
        <v>19.888166628681343</v>
      </c>
    </row>
    <row r="78" spans="2:18" x14ac:dyDescent="0.25">
      <c r="B78" s="42">
        <v>40</v>
      </c>
      <c r="C78" s="46">
        <f t="shared" si="9"/>
        <v>1.183673469387756</v>
      </c>
      <c r="D78" s="47">
        <f t="shared" si="10"/>
        <v>15.264179671752366</v>
      </c>
      <c r="E78" s="47">
        <f t="shared" si="16"/>
        <v>0.65372718185765766</v>
      </c>
      <c r="F78" s="47">
        <f t="shared" si="11"/>
        <v>-3.69206913545717</v>
      </c>
      <c r="G78" s="48">
        <f>1</f>
        <v>1</v>
      </c>
      <c r="H78" s="47">
        <f t="shared" si="6"/>
        <v>15.264179671752366</v>
      </c>
      <c r="I78" s="47">
        <f t="shared" si="7"/>
        <v>-1.505376956111143</v>
      </c>
      <c r="J78" s="11">
        <f t="shared" si="12"/>
        <v>-86.251746161419064</v>
      </c>
      <c r="K78" s="113">
        <f t="shared" si="17"/>
        <v>4.2735922829955496E-2</v>
      </c>
      <c r="L78" s="11">
        <f t="shared" si="18"/>
        <v>-0.65232880451458464</v>
      </c>
      <c r="M78" s="36"/>
      <c r="O78" s="42">
        <v>14</v>
      </c>
      <c r="P78" s="46">
        <f t="shared" si="15"/>
        <v>0.33339350609524326</v>
      </c>
      <c r="Q78" s="47">
        <f t="shared" si="13"/>
        <v>-3.8231725740274287</v>
      </c>
      <c r="R78" s="11">
        <f t="shared" si="14"/>
        <v>19.058283051899576</v>
      </c>
    </row>
    <row r="79" spans="2:18" x14ac:dyDescent="0.25">
      <c r="B79" s="42">
        <v>41</v>
      </c>
      <c r="C79" s="46">
        <f t="shared" si="9"/>
        <v>1.2653061224489806</v>
      </c>
      <c r="D79" s="47">
        <f t="shared" si="10"/>
        <v>18.42069969326721</v>
      </c>
      <c r="E79" s="47">
        <f t="shared" si="16"/>
        <v>0.54206937831646185</v>
      </c>
      <c r="F79" s="47">
        <f t="shared" si="11"/>
        <v>-5.3189025093893241</v>
      </c>
      <c r="G79" s="48">
        <f>1</f>
        <v>1</v>
      </c>
      <c r="H79" s="47">
        <f t="shared" si="6"/>
        <v>18.42069969326721</v>
      </c>
      <c r="I79" s="47">
        <f t="shared" si="7"/>
        <v>-1.5165628069263632</v>
      </c>
      <c r="J79" s="11">
        <f t="shared" si="12"/>
        <v>-86.892648203394145</v>
      </c>
      <c r="K79" s="113">
        <f t="shared" si="17"/>
        <v>2.9383921090839545E-2</v>
      </c>
      <c r="L79" s="11">
        <f t="shared" si="18"/>
        <v>-0.54127238622501583</v>
      </c>
      <c r="M79" s="36"/>
      <c r="O79" s="42">
        <v>15</v>
      </c>
      <c r="P79" s="46">
        <f t="shared" si="15"/>
        <v>0.35903916041026196</v>
      </c>
      <c r="Q79" s="47">
        <f t="shared" si="13"/>
        <v>-8.6776747823511435</v>
      </c>
      <c r="R79" s="11">
        <f t="shared" si="14"/>
        <v>16.981791960211169</v>
      </c>
    </row>
    <row r="80" spans="2:18" x14ac:dyDescent="0.25">
      <c r="B80" s="42">
        <v>42</v>
      </c>
      <c r="C80" s="46">
        <f t="shared" si="9"/>
        <v>1.3469387755102051</v>
      </c>
      <c r="D80" s="47">
        <f t="shared" si="10"/>
        <v>22.229964825262009</v>
      </c>
      <c r="E80" s="47">
        <f t="shared" si="16"/>
        <v>0.44938880742137188</v>
      </c>
      <c r="F80" s="47">
        <f t="shared" si="11"/>
        <v>-6.9475549683631197</v>
      </c>
      <c r="G80" s="48">
        <f>1</f>
        <v>1</v>
      </c>
      <c r="H80" s="47">
        <f t="shared" si="6"/>
        <v>22.229964825262009</v>
      </c>
      <c r="I80" s="47">
        <f t="shared" si="7"/>
        <v>-1.5258423065895703</v>
      </c>
      <c r="J80" s="11">
        <f t="shared" si="12"/>
        <v>-87.424324370088982</v>
      </c>
      <c r="K80" s="113">
        <f t="shared" si="17"/>
        <v>2.0195030023560285E-2</v>
      </c>
      <c r="L80" s="11">
        <f t="shared" si="18"/>
        <v>-0.44893480706885536</v>
      </c>
      <c r="M80" s="36"/>
      <c r="O80" s="42">
        <v>16</v>
      </c>
      <c r="P80" s="46">
        <f t="shared" si="15"/>
        <v>0.38468481472528065</v>
      </c>
      <c r="Q80" s="47">
        <f t="shared" si="13"/>
        <v>-12.964567906155743</v>
      </c>
      <c r="R80" s="11">
        <f t="shared" si="14"/>
        <v>13.79451720471994</v>
      </c>
    </row>
    <row r="81" spans="2:18" x14ac:dyDescent="0.25">
      <c r="B81" s="42">
        <v>43</v>
      </c>
      <c r="C81" s="46">
        <f t="shared" si="9"/>
        <v>1.4285714285714297</v>
      </c>
      <c r="D81" s="47">
        <f t="shared" si="10"/>
        <v>26.826957952797333</v>
      </c>
      <c r="E81" s="47">
        <f t="shared" si="16"/>
        <v>0.37250066786753822</v>
      </c>
      <c r="F81" s="47">
        <f t="shared" si="11"/>
        <v>-8.5774588851096603</v>
      </c>
      <c r="G81" s="48">
        <f>1</f>
        <v>1</v>
      </c>
      <c r="H81" s="47">
        <f t="shared" si="6"/>
        <v>26.826957952797333</v>
      </c>
      <c r="I81" s="47">
        <f t="shared" si="7"/>
        <v>-1.5335376401279015</v>
      </c>
      <c r="J81" s="11">
        <f t="shared" si="12"/>
        <v>-87.86523450378084</v>
      </c>
      <c r="K81" s="113">
        <f t="shared" si="17"/>
        <v>1.3875674756176204E-2</v>
      </c>
      <c r="L81" s="11">
        <f t="shared" si="18"/>
        <v>-0.37224214325063049</v>
      </c>
      <c r="M81" s="36"/>
      <c r="O81" s="42">
        <v>17</v>
      </c>
      <c r="P81" s="46">
        <f t="shared" si="15"/>
        <v>0.41033046904029935</v>
      </c>
      <c r="Q81" s="47">
        <f t="shared" si="13"/>
        <v>-16.403445091939094</v>
      </c>
      <c r="R81" s="11">
        <f t="shared" si="14"/>
        <v>9.7049393002470516</v>
      </c>
    </row>
    <row r="82" spans="2:18" x14ac:dyDescent="0.25">
      <c r="B82" s="42">
        <v>44</v>
      </c>
      <c r="C82" s="46">
        <f t="shared" si="9"/>
        <v>1.5102040816326543</v>
      </c>
      <c r="D82" s="47">
        <f t="shared" si="10"/>
        <v>32.374575428176534</v>
      </c>
      <c r="E82" s="47">
        <f t="shared" si="16"/>
        <v>0.30873711242018148</v>
      </c>
      <c r="F82" s="47">
        <f t="shared" si="11"/>
        <v>-10.208223241227985</v>
      </c>
      <c r="G82" s="48">
        <f>1</f>
        <v>1</v>
      </c>
      <c r="H82" s="47">
        <f t="shared" si="6"/>
        <v>32.374575428176534</v>
      </c>
      <c r="I82" s="47">
        <f t="shared" si="7"/>
        <v>-1.5399177087160894</v>
      </c>
      <c r="J82" s="11">
        <f t="shared" si="12"/>
        <v>-88.230785506887983</v>
      </c>
      <c r="K82" s="113">
        <f t="shared" si="17"/>
        <v>9.5318604585551778E-3</v>
      </c>
      <c r="L82" s="11">
        <f t="shared" si="18"/>
        <v>-0.30858993538634799</v>
      </c>
      <c r="M82" s="36"/>
      <c r="O82" s="42">
        <v>18</v>
      </c>
      <c r="P82" s="46">
        <f t="shared" si="15"/>
        <v>0.43597612335531805</v>
      </c>
      <c r="Q82" s="47">
        <f t="shared" si="13"/>
        <v>-18.769368440995191</v>
      </c>
      <c r="R82" s="11">
        <f t="shared" si="14"/>
        <v>4.9805586577491869</v>
      </c>
    </row>
    <row r="83" spans="2:18" x14ac:dyDescent="0.25">
      <c r="B83" s="42">
        <v>45</v>
      </c>
      <c r="C83" s="46">
        <f t="shared" si="9"/>
        <v>1.5918367346938789</v>
      </c>
      <c r="D83" s="47">
        <f t="shared" si="10"/>
        <v>39.069399370546307</v>
      </c>
      <c r="E83" s="47">
        <f t="shared" si="16"/>
        <v>0.25587099179592765</v>
      </c>
      <c r="F83" s="47">
        <f t="shared" si="11"/>
        <v>-11.839578949474559</v>
      </c>
      <c r="G83" s="48">
        <f>1</f>
        <v>1</v>
      </c>
      <c r="H83" s="47">
        <f t="shared" si="6"/>
        <v>39.069399370546307</v>
      </c>
      <c r="I83" s="47">
        <f t="shared" si="7"/>
        <v>-1.5452064348149694</v>
      </c>
      <c r="J83" s="11">
        <f t="shared" si="12"/>
        <v>-88.533807191354498</v>
      </c>
      <c r="K83" s="113">
        <f t="shared" si="17"/>
        <v>6.5469964442631682E-3</v>
      </c>
      <c r="L83" s="11">
        <f t="shared" si="18"/>
        <v>-0.25578721875846433</v>
      </c>
      <c r="M83" s="36"/>
      <c r="O83" s="42">
        <v>19</v>
      </c>
      <c r="P83" s="46">
        <f t="shared" si="15"/>
        <v>0.46162177767033674</v>
      </c>
      <c r="Q83" s="47">
        <f t="shared" si="13"/>
        <v>-19.907582258983961</v>
      </c>
      <c r="R83" s="11">
        <f t="shared" si="14"/>
        <v>-6.9601690836345986E-2</v>
      </c>
    </row>
    <row r="84" spans="2:18" x14ac:dyDescent="0.25">
      <c r="B84" s="42">
        <v>46</v>
      </c>
      <c r="C84" s="46">
        <f t="shared" si="9"/>
        <v>1.6734693877551035</v>
      </c>
      <c r="D84" s="47">
        <f t="shared" si="10"/>
        <v>47.148663634574106</v>
      </c>
      <c r="E84" s="47">
        <f t="shared" si="16"/>
        <v>0.21204740010692322</v>
      </c>
      <c r="F84" s="47">
        <f t="shared" si="11"/>
        <v>-13.471340960302244</v>
      </c>
      <c r="G84" s="48">
        <f>1</f>
        <v>1</v>
      </c>
      <c r="H84" s="47">
        <f t="shared" si="6"/>
        <v>47.148663634574106</v>
      </c>
      <c r="I84" s="47">
        <f t="shared" si="7"/>
        <v>-1.5495899973758382</v>
      </c>
      <c r="J84" s="11">
        <f t="shared" si="12"/>
        <v>-88.784966825323849</v>
      </c>
      <c r="K84" s="113">
        <f t="shared" si="17"/>
        <v>4.4964099892105588E-3</v>
      </c>
      <c r="L84" s="11">
        <f t="shared" si="18"/>
        <v>-0.21199972214442761</v>
      </c>
      <c r="M84" s="36"/>
      <c r="O84" s="42">
        <v>20</v>
      </c>
      <c r="P84" s="46">
        <f t="shared" si="15"/>
        <v>0.48726743198535544</v>
      </c>
      <c r="Q84" s="47">
        <f t="shared" si="13"/>
        <v>-19.743635668289009</v>
      </c>
      <c r="R84" s="11">
        <f t="shared" si="14"/>
        <v>-5.1152093737588444</v>
      </c>
    </row>
    <row r="85" spans="2:18" x14ac:dyDescent="0.25">
      <c r="B85" s="42">
        <v>47</v>
      </c>
      <c r="C85" s="46">
        <f t="shared" si="9"/>
        <v>1.755102040816328</v>
      </c>
      <c r="D85" s="47">
        <f t="shared" si="10"/>
        <v>56.898660290183201</v>
      </c>
      <c r="E85" s="47">
        <f t="shared" si="16"/>
        <v>0.17572392539478721</v>
      </c>
      <c r="F85" s="47">
        <f t="shared" si="11"/>
        <v>-15.103382076919431</v>
      </c>
      <c r="G85" s="48">
        <f>1</f>
        <v>1</v>
      </c>
      <c r="H85" s="47">
        <f t="shared" si="6"/>
        <v>56.898660290183201</v>
      </c>
      <c r="I85" s="47">
        <f t="shared" si="7"/>
        <v>-1.553223029769536</v>
      </c>
      <c r="J85" s="11">
        <f t="shared" si="12"/>
        <v>-88.993124248317031</v>
      </c>
      <c r="K85" s="113">
        <f t="shared" si="17"/>
        <v>3.0878897956152741E-3</v>
      </c>
      <c r="L85" s="11">
        <f t="shared" si="18"/>
        <v>-0.17569679249423673</v>
      </c>
      <c r="M85" s="36"/>
      <c r="O85" s="42">
        <v>21</v>
      </c>
      <c r="P85" s="46">
        <f t="shared" si="15"/>
        <v>0.51291308630037413</v>
      </c>
      <c r="Q85" s="47">
        <f t="shared" si="13"/>
        <v>-18.288252460316272</v>
      </c>
      <c r="R85" s="11">
        <f t="shared" si="14"/>
        <v>-9.8262298103756951</v>
      </c>
    </row>
    <row r="86" spans="2:18" x14ac:dyDescent="0.25">
      <c r="B86" s="42">
        <v>48</v>
      </c>
      <c r="C86" s="46">
        <f t="shared" si="9"/>
        <v>1.8367346938775526</v>
      </c>
      <c r="D86" s="47">
        <f t="shared" si="10"/>
        <v>68.664884500430276</v>
      </c>
      <c r="E86" s="47">
        <f t="shared" si="16"/>
        <v>0.14561940598843939</v>
      </c>
      <c r="F86" s="47">
        <f t="shared" si="11"/>
        <v>-16.735614897149652</v>
      </c>
      <c r="G86" s="48">
        <f>1</f>
        <v>1</v>
      </c>
      <c r="H86" s="47">
        <f t="shared" si="6"/>
        <v>68.664884500430276</v>
      </c>
      <c r="I86" s="47">
        <f t="shared" si="7"/>
        <v>-1.5562338715034105</v>
      </c>
      <c r="J86" s="11">
        <f t="shared" si="12"/>
        <v>-89.165632772449911</v>
      </c>
      <c r="K86" s="113">
        <f t="shared" si="17"/>
        <v>2.1205011400425937E-3</v>
      </c>
      <c r="L86" s="11">
        <f t="shared" si="18"/>
        <v>-0.14560396586405541</v>
      </c>
      <c r="M86" s="36"/>
      <c r="O86" s="42">
        <v>22</v>
      </c>
      <c r="P86" s="46">
        <f t="shared" si="15"/>
        <v>0.53855874061539288</v>
      </c>
      <c r="Q86" s="47">
        <f t="shared" si="13"/>
        <v>-15.636629649360621</v>
      </c>
      <c r="R86" s="11">
        <f t="shared" si="14"/>
        <v>-13.894513863475941</v>
      </c>
    </row>
    <row r="87" spans="2:18" x14ac:dyDescent="0.25">
      <c r="B87" s="42">
        <v>49</v>
      </c>
      <c r="C87" s="46">
        <f t="shared" si="9"/>
        <v>1.9183673469387772</v>
      </c>
      <c r="D87" s="47">
        <f t="shared" si="10"/>
        <v>82.864277285468802</v>
      </c>
      <c r="E87" s="47">
        <f t="shared" si="16"/>
        <v>0.12067047747052206</v>
      </c>
      <c r="F87" s="47">
        <f t="shared" si="11"/>
        <v>-18.367979376831663</v>
      </c>
      <c r="G87" s="48">
        <f>1</f>
        <v>1</v>
      </c>
      <c r="H87" s="47">
        <f t="shared" si="6"/>
        <v>82.864277285468802</v>
      </c>
      <c r="I87" s="47">
        <f t="shared" si="7"/>
        <v>-1.5587289861741926</v>
      </c>
      <c r="J87" s="11">
        <f t="shared" si="12"/>
        <v>-89.308592312486894</v>
      </c>
      <c r="K87" s="113">
        <f t="shared" si="17"/>
        <v>1.4561364132963774E-3</v>
      </c>
      <c r="L87" s="11">
        <f t="shared" si="18"/>
        <v>-0.12066169151685902</v>
      </c>
      <c r="M87" s="36"/>
      <c r="O87" s="42">
        <v>23</v>
      </c>
      <c r="P87" s="46">
        <f t="shared" si="15"/>
        <v>0.56420439493041163</v>
      </c>
      <c r="Q87" s="47">
        <f t="shared" si="13"/>
        <v>-11.962210609824353</v>
      </c>
      <c r="R87" s="11">
        <f t="shared" si="14"/>
        <v>-17.053953958754001</v>
      </c>
    </row>
    <row r="88" spans="2:18" ht="15.75" thickBot="1" x14ac:dyDescent="0.3">
      <c r="B88" s="49">
        <v>50</v>
      </c>
      <c r="C88" s="54">
        <f>LOG(J11)</f>
        <v>2</v>
      </c>
      <c r="D88" s="50">
        <f>EXP(C88*LN(10))</f>
        <v>100.00000000000004</v>
      </c>
      <c r="E88" s="50">
        <f t="shared" si="16"/>
        <v>9.9995000374968709E-2</v>
      </c>
      <c r="F88" s="50">
        <f>20*LOG(E88)</f>
        <v>-20.000434272768629</v>
      </c>
      <c r="G88" s="51">
        <f>1</f>
        <v>1</v>
      </c>
      <c r="H88" s="50">
        <f t="shared" si="6"/>
        <v>100.00000000000004</v>
      </c>
      <c r="I88" s="50">
        <f t="shared" si="7"/>
        <v>-1.5607966601082315</v>
      </c>
      <c r="J88" s="13">
        <f>I88*180/PI()</f>
        <v>-89.427061302316531</v>
      </c>
      <c r="K88" s="114">
        <f t="shared" si="17"/>
        <v>9.9990000999899921E-4</v>
      </c>
      <c r="L88" s="13">
        <f t="shared" si="18"/>
        <v>-9.9990000999899964E-2</v>
      </c>
      <c r="M88" s="36"/>
      <c r="O88" s="42">
        <v>24</v>
      </c>
      <c r="P88" s="46">
        <f t="shared" si="15"/>
        <v>0.58985004924543039</v>
      </c>
      <c r="Q88" s="47">
        <f t="shared" si="13"/>
        <v>-7.5053400975875251</v>
      </c>
      <c r="R88" s="11">
        <f t="shared" si="14"/>
        <v>-19.097890254137795</v>
      </c>
    </row>
    <row r="89" spans="2:18" x14ac:dyDescent="0.25">
      <c r="O89" s="42">
        <v>25</v>
      </c>
      <c r="P89" s="46">
        <f t="shared" si="15"/>
        <v>0.61549570356044914</v>
      </c>
      <c r="Q89" s="47">
        <f t="shared" si="13"/>
        <v>-2.5575432336901498</v>
      </c>
      <c r="R89" s="11">
        <f t="shared" si="14"/>
        <v>-19.892628316667263</v>
      </c>
    </row>
    <row r="90" spans="2:18" x14ac:dyDescent="0.25">
      <c r="O90" s="42">
        <v>26</v>
      </c>
      <c r="P90" s="46">
        <f t="shared" si="15"/>
        <v>0.64114135787546789</v>
      </c>
      <c r="Q90" s="47">
        <f t="shared" si="13"/>
        <v>2.5575432336901049</v>
      </c>
      <c r="R90" s="11">
        <f t="shared" si="14"/>
        <v>-19.386184111976153</v>
      </c>
    </row>
    <row r="91" spans="2:18" x14ac:dyDescent="0.25">
      <c r="O91" s="42">
        <v>27</v>
      </c>
      <c r="P91" s="46">
        <f t="shared" si="15"/>
        <v>0.66678701219048664</v>
      </c>
      <c r="Q91" s="47">
        <f t="shared" si="13"/>
        <v>7.5053400975874665</v>
      </c>
      <c r="R91" s="11">
        <f t="shared" si="14"/>
        <v>-17.611684294219504</v>
      </c>
    </row>
    <row r="92" spans="2:18" x14ac:dyDescent="0.25">
      <c r="O92" s="42">
        <v>28</v>
      </c>
      <c r="P92" s="46">
        <f t="shared" si="15"/>
        <v>0.69243266650550539</v>
      </c>
      <c r="Q92" s="47">
        <f t="shared" si="13"/>
        <v>11.962210609824302</v>
      </c>
      <c r="R92" s="11">
        <f t="shared" si="14"/>
        <v>-14.685199382551206</v>
      </c>
    </row>
    <row r="93" spans="2:18" x14ac:dyDescent="0.25">
      <c r="O93" s="42">
        <v>29</v>
      </c>
      <c r="P93" s="46">
        <f t="shared" si="15"/>
        <v>0.71807832082052414</v>
      </c>
      <c r="Q93" s="47">
        <f t="shared" si="13"/>
        <v>15.636629649360591</v>
      </c>
      <c r="R93" s="11">
        <f t="shared" si="14"/>
        <v>-10.7981515566719</v>
      </c>
    </row>
    <row r="94" spans="2:18" x14ac:dyDescent="0.25">
      <c r="O94" s="42">
        <v>30</v>
      </c>
      <c r="P94" s="46">
        <f t="shared" si="15"/>
        <v>0.74372397513554289</v>
      </c>
      <c r="Q94" s="47">
        <f t="shared" si="13"/>
        <v>18.288252460316254</v>
      </c>
      <c r="R94" s="11">
        <f t="shared" si="14"/>
        <v>-6.2047936796200451</v>
      </c>
    </row>
    <row r="95" spans="2:18" x14ac:dyDescent="0.25">
      <c r="O95" s="42">
        <v>31</v>
      </c>
      <c r="P95" s="46">
        <f t="shared" si="15"/>
        <v>0.76936962945056164</v>
      </c>
      <c r="Q95" s="47">
        <f t="shared" si="13"/>
        <v>19.743635668289002</v>
      </c>
      <c r="R95" s="11">
        <f t="shared" si="14"/>
        <v>-1.2055785483551285</v>
      </c>
    </row>
    <row r="96" spans="2:18" x14ac:dyDescent="0.25">
      <c r="O96" s="42">
        <v>32</v>
      </c>
      <c r="P96" s="46">
        <f t="shared" si="15"/>
        <v>0.79501528376558039</v>
      </c>
      <c r="Q96" s="47">
        <f t="shared" si="13"/>
        <v>19.907582258983965</v>
      </c>
      <c r="R96" s="11">
        <f t="shared" si="14"/>
        <v>3.8724938059921126</v>
      </c>
    </row>
    <row r="97" spans="15:18" x14ac:dyDescent="0.25">
      <c r="O97" s="42">
        <v>33</v>
      </c>
      <c r="P97" s="46">
        <f t="shared" si="15"/>
        <v>0.82066093808059914</v>
      </c>
      <c r="Q97" s="47">
        <f t="shared" ref="Q97:Q114" si="19">$C$23*SIN($C$24*P97)</f>
        <v>18.769368440995201</v>
      </c>
      <c r="R97" s="11">
        <f t="shared" ref="R97:R114" si="20">$L$29*SIN($C$24*P97+$L$31)</f>
        <v>8.6972652797284056</v>
      </c>
    </row>
    <row r="98" spans="15:18" x14ac:dyDescent="0.25">
      <c r="O98" s="42">
        <v>34</v>
      </c>
      <c r="P98" s="46">
        <f t="shared" si="15"/>
        <v>0.8463065923956179</v>
      </c>
      <c r="Q98" s="47">
        <f t="shared" si="19"/>
        <v>16.403445091939098</v>
      </c>
      <c r="R98" s="11">
        <f t="shared" si="20"/>
        <v>12.953146249145872</v>
      </c>
    </row>
    <row r="99" spans="15:18" x14ac:dyDescent="0.25">
      <c r="O99" s="42">
        <v>35</v>
      </c>
      <c r="P99" s="46">
        <f t="shared" si="15"/>
        <v>0.87195224671063665</v>
      </c>
      <c r="Q99" s="47">
        <f t="shared" si="19"/>
        <v>12.964567906155757</v>
      </c>
      <c r="R99" s="11">
        <f t="shared" si="20"/>
        <v>16.361758374255718</v>
      </c>
    </row>
    <row r="100" spans="15:18" x14ac:dyDescent="0.25">
      <c r="O100" s="42">
        <v>36</v>
      </c>
      <c r="P100" s="46">
        <f t="shared" si="15"/>
        <v>0.8975979010256554</v>
      </c>
      <c r="Q100" s="47">
        <f t="shared" si="19"/>
        <v>8.6776747823511364</v>
      </c>
      <c r="R100" s="11">
        <f t="shared" si="20"/>
        <v>18.700143402260899</v>
      </c>
    </row>
    <row r="101" spans="15:18" x14ac:dyDescent="0.25">
      <c r="O101" s="42">
        <v>37</v>
      </c>
      <c r="P101" s="46">
        <f t="shared" si="15"/>
        <v>0.92324355534067415</v>
      </c>
      <c r="Q101" s="47">
        <f t="shared" si="19"/>
        <v>3.823172574027403</v>
      </c>
      <c r="R101" s="11">
        <f t="shared" si="20"/>
        <v>19.815346927944613</v>
      </c>
    </row>
    <row r="102" spans="15:18" x14ac:dyDescent="0.25">
      <c r="O102" s="42">
        <v>38</v>
      </c>
      <c r="P102" s="46">
        <f t="shared" si="15"/>
        <v>0.9488892096556929</v>
      </c>
      <c r="Q102" s="47">
        <f t="shared" si="19"/>
        <v>-1.2814043996143167</v>
      </c>
      <c r="R102" s="11">
        <f t="shared" si="20"/>
        <v>19.634423183213165</v>
      </c>
    </row>
    <row r="103" spans="15:18" x14ac:dyDescent="0.25">
      <c r="O103" s="42">
        <v>39</v>
      </c>
      <c r="P103" s="46">
        <f t="shared" si="15"/>
        <v>0.97453486397071165</v>
      </c>
      <c r="Q103" s="47">
        <f t="shared" si="19"/>
        <v>-6.3021643604724833</v>
      </c>
      <c r="R103" s="11">
        <f t="shared" si="20"/>
        <v>18.169206439768413</v>
      </c>
    </row>
    <row r="104" spans="15:18" x14ac:dyDescent="0.25">
      <c r="O104" s="42">
        <v>40</v>
      </c>
      <c r="P104" s="46">
        <f t="shared" si="15"/>
        <v>1.0001805182857304</v>
      </c>
      <c r="Q104" s="47">
        <f t="shared" si="19"/>
        <v>-10.910698024211019</v>
      </c>
      <c r="R104" s="11">
        <f t="shared" si="20"/>
        <v>15.515536926154132</v>
      </c>
    </row>
    <row r="105" spans="15:18" x14ac:dyDescent="0.25">
      <c r="O105" s="42">
        <v>41</v>
      </c>
      <c r="P105" s="46">
        <f t="shared" si="15"/>
        <v>1.0258261726007492</v>
      </c>
      <c r="Q105" s="47">
        <f t="shared" si="19"/>
        <v>-14.805559941506356</v>
      </c>
      <c r="R105" s="11">
        <f t="shared" si="20"/>
        <v>11.846991892154126</v>
      </c>
    </row>
    <row r="106" spans="15:18" x14ac:dyDescent="0.25">
      <c r="O106" s="42">
        <v>42</v>
      </c>
      <c r="P106" s="46">
        <f t="shared" si="15"/>
        <v>1.0514718269157679</v>
      </c>
      <c r="Q106" s="47">
        <f t="shared" si="19"/>
        <v>-17.73198612746004</v>
      </c>
      <c r="R106" s="11">
        <f t="shared" si="20"/>
        <v>7.4035318733372417</v>
      </c>
    </row>
    <row r="107" spans="15:18" x14ac:dyDescent="0.25">
      <c r="O107" s="42">
        <v>43</v>
      </c>
      <c r="P107" s="46">
        <f t="shared" si="15"/>
        <v>1.0771174812307867</v>
      </c>
      <c r="Q107" s="47">
        <f t="shared" si="19"/>
        <v>-19.498558243636484</v>
      </c>
      <c r="R107" s="11">
        <f t="shared" si="20"/>
        <v>2.4758048066956069</v>
      </c>
    </row>
    <row r="108" spans="15:18" x14ac:dyDescent="0.25">
      <c r="O108" s="42">
        <v>44</v>
      </c>
      <c r="P108" s="46">
        <f t="shared" si="15"/>
        <v>1.1027631355458054</v>
      </c>
      <c r="Q108" s="47">
        <f t="shared" si="19"/>
        <v>-19.989724324013757</v>
      </c>
      <c r="R108" s="11">
        <f t="shared" si="20"/>
        <v>-2.6138653305292445</v>
      </c>
    </row>
    <row r="109" spans="15:18" x14ac:dyDescent="0.25">
      <c r="O109" s="42">
        <v>45</v>
      </c>
      <c r="P109" s="46">
        <f t="shared" si="15"/>
        <v>1.1284087898608242</v>
      </c>
      <c r="Q109" s="47">
        <f t="shared" si="19"/>
        <v>-19.173357060733188</v>
      </c>
      <c r="R109" s="11">
        <f t="shared" si="20"/>
        <v>-7.53256182048918</v>
      </c>
    </row>
    <row r="110" spans="15:18" x14ac:dyDescent="0.25">
      <c r="O110" s="42">
        <v>46</v>
      </c>
      <c r="P110" s="46">
        <f t="shared" si="15"/>
        <v>1.1540544441758429</v>
      </c>
      <c r="Q110" s="47">
        <f t="shared" si="19"/>
        <v>-17.102855260106868</v>
      </c>
      <c r="R110" s="11">
        <f t="shared" si="20"/>
        <v>-11.958551378436896</v>
      </c>
    </row>
    <row r="111" spans="15:18" x14ac:dyDescent="0.25">
      <c r="O111" s="42">
        <v>47</v>
      </c>
      <c r="P111" s="46">
        <f t="shared" si="15"/>
        <v>1.1797000984908617</v>
      </c>
      <c r="Q111" s="47">
        <f t="shared" si="19"/>
        <v>-13.913651012069639</v>
      </c>
      <c r="R111" s="11">
        <f t="shared" si="20"/>
        <v>-15.602328815011496</v>
      </c>
    </row>
    <row r="112" spans="15:18" x14ac:dyDescent="0.25">
      <c r="O112" s="42">
        <v>48</v>
      </c>
      <c r="P112" s="46">
        <f t="shared" si="15"/>
        <v>1.2053457528058804</v>
      </c>
      <c r="Q112" s="47">
        <f t="shared" si="19"/>
        <v>-9.8143510400786678</v>
      </c>
      <c r="R112" s="11">
        <f t="shared" si="20"/>
        <v>-18.225553649975954</v>
      </c>
    </row>
    <row r="113" spans="15:18" x14ac:dyDescent="0.25">
      <c r="O113" s="42">
        <v>49</v>
      </c>
      <c r="P113" s="46">
        <f t="shared" si="15"/>
        <v>1.2309914071208992</v>
      </c>
      <c r="Q113" s="47">
        <f t="shared" si="19"/>
        <v>-5.0730916781900346</v>
      </c>
      <c r="R113" s="11">
        <f t="shared" si="20"/>
        <v>-19.656640028316456</v>
      </c>
    </row>
    <row r="114" spans="15:18" ht="15.75" thickBot="1" x14ac:dyDescent="0.3">
      <c r="O114" s="49">
        <v>50</v>
      </c>
      <c r="P114" s="54">
        <f>$U$63*$F$23</f>
        <v>1.2566370614359172</v>
      </c>
      <c r="Q114" s="50">
        <f t="shared" si="19"/>
        <v>-9.8011876392689601E-15</v>
      </c>
      <c r="R114" s="13">
        <f t="shared" si="20"/>
        <v>-19.801980198019805</v>
      </c>
    </row>
  </sheetData>
  <sheetProtection sheet="1" objects="1" scenarios="1"/>
  <mergeCells count="29">
    <mergeCell ref="K4:K5"/>
    <mergeCell ref="K33:L33"/>
    <mergeCell ref="B6:E13"/>
    <mergeCell ref="F7:G10"/>
    <mergeCell ref="G37:H37"/>
    <mergeCell ref="B25:F26"/>
    <mergeCell ref="H23:L24"/>
    <mergeCell ref="H25:L26"/>
    <mergeCell ref="B28:F28"/>
    <mergeCell ref="H28:L28"/>
    <mergeCell ref="D29:D31"/>
    <mergeCell ref="B31:C31"/>
    <mergeCell ref="B33:C33"/>
    <mergeCell ref="K6:K7"/>
    <mergeCell ref="K12:K13"/>
    <mergeCell ref="F11:G11"/>
    <mergeCell ref="H21:L22"/>
    <mergeCell ref="B21:F22"/>
    <mergeCell ref="I12:I13"/>
    <mergeCell ref="B4:E5"/>
    <mergeCell ref="B2:E3"/>
    <mergeCell ref="J12:J13"/>
    <mergeCell ref="I15:J15"/>
    <mergeCell ref="B16:B17"/>
    <mergeCell ref="B18:B19"/>
    <mergeCell ref="C15:D15"/>
    <mergeCell ref="E15:F15"/>
    <mergeCell ref="G15:H15"/>
    <mergeCell ref="I2:L2"/>
  </mergeCells>
  <conditionalFormatting sqref="G2:G3">
    <cfRule type="expression" dxfId="12" priority="5">
      <formula>IF($B$4="K T",0,1)</formula>
    </cfRule>
  </conditionalFormatting>
  <conditionalFormatting sqref="G4:G6">
    <cfRule type="expression" dxfId="11" priority="4">
      <formula>IF($B$4="u v w",0,1)</formula>
    </cfRule>
  </conditionalFormatting>
  <conditionalFormatting sqref="K3:L4 K6:L6">
    <cfRule type="expression" dxfId="10" priority="1">
      <formula>IF($G$12&gt;1,0,1)</formula>
    </cfRule>
  </conditionalFormatting>
  <dataValidations disablePrompts="1" count="1">
    <dataValidation type="list" allowBlank="1" showInputMessage="1" showErrorMessage="1" sqref="B4:E5">
      <formula1>"K T,u v w"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10"/>
  <sheetViews>
    <sheetView tabSelected="1" zoomScale="85" zoomScaleNormal="85" workbookViewId="0">
      <selection activeCell="I16" sqref="I16"/>
    </sheetView>
  </sheetViews>
  <sheetFormatPr baseColWidth="10" defaultRowHeight="15" x14ac:dyDescent="0.25"/>
  <cols>
    <col min="1" max="1" width="11.42578125" style="4"/>
    <col min="2" max="2" width="13.5703125" style="4" bestFit="1" customWidth="1"/>
    <col min="3" max="3" width="12.7109375" style="4" bestFit="1" customWidth="1"/>
    <col min="4" max="4" width="8.5703125" style="4" bestFit="1" customWidth="1"/>
    <col min="5" max="11" width="11.42578125" style="4"/>
    <col min="12" max="12" width="16.140625" style="4" bestFit="1" customWidth="1"/>
    <col min="13" max="13" width="10.85546875" style="4" customWidth="1"/>
    <col min="14" max="15" width="14.28515625" style="4" customWidth="1"/>
    <col min="16" max="16" width="2.140625" style="4" customWidth="1"/>
    <col min="17" max="16384" width="11.42578125" style="4"/>
  </cols>
  <sheetData>
    <row r="1" spans="2:15" ht="15.75" thickBot="1" x14ac:dyDescent="0.3"/>
    <row r="2" spans="2:15" x14ac:dyDescent="0.25">
      <c r="B2" s="170" t="s">
        <v>40</v>
      </c>
      <c r="C2" s="171"/>
      <c r="D2" s="171"/>
      <c r="E2" s="171"/>
      <c r="F2" s="171"/>
      <c r="G2" s="172"/>
    </row>
    <row r="3" spans="2:15" ht="15.75" thickBot="1" x14ac:dyDescent="0.3">
      <c r="B3" s="173"/>
      <c r="C3" s="174"/>
      <c r="D3" s="174"/>
      <c r="E3" s="174"/>
      <c r="F3" s="174"/>
      <c r="G3" s="175"/>
    </row>
    <row r="4" spans="2:15" ht="15.75" thickBot="1" x14ac:dyDescent="0.3">
      <c r="B4" s="164" t="s">
        <v>86</v>
      </c>
      <c r="C4" s="165"/>
      <c r="D4" s="165"/>
      <c r="E4" s="165"/>
      <c r="F4" s="165"/>
      <c r="G4" s="166"/>
      <c r="H4" s="108" t="s">
        <v>62</v>
      </c>
      <c r="I4" s="64">
        <v>1</v>
      </c>
      <c r="K4" s="220" t="s">
        <v>66</v>
      </c>
      <c r="L4" s="221"/>
      <c r="M4" s="107"/>
      <c r="N4" s="135" t="s">
        <v>24</v>
      </c>
      <c r="O4" s="135" t="s">
        <v>25</v>
      </c>
    </row>
    <row r="5" spans="2:15" ht="15.75" thickBot="1" x14ac:dyDescent="0.3">
      <c r="B5" s="167"/>
      <c r="C5" s="168"/>
      <c r="D5" s="168"/>
      <c r="E5" s="168"/>
      <c r="F5" s="168"/>
      <c r="G5" s="169"/>
      <c r="H5" s="5" t="s">
        <v>63</v>
      </c>
      <c r="I5" s="65">
        <v>20</v>
      </c>
      <c r="K5" s="132" t="s">
        <v>44</v>
      </c>
      <c r="L5" s="145" t="e">
        <f>(-$E$15-SQRT($N$7))/(2*$E$14)</f>
        <v>#NUM!</v>
      </c>
      <c r="M5" s="137" t="s">
        <v>22</v>
      </c>
      <c r="N5" s="91">
        <f>O5</f>
        <v>1</v>
      </c>
      <c r="O5" s="90">
        <f>IF(G16&gt;=1,MIN(1/L7,1/L8),G15)/N12</f>
        <v>1</v>
      </c>
    </row>
    <row r="6" spans="2:15" ht="15.75" thickBot="1" x14ac:dyDescent="0.3">
      <c r="B6" s="187"/>
      <c r="C6" s="188"/>
      <c r="D6" s="188"/>
      <c r="E6" s="188"/>
      <c r="F6" s="188"/>
      <c r="G6" s="189"/>
      <c r="H6" s="5" t="s">
        <v>64</v>
      </c>
      <c r="I6" s="65">
        <v>100</v>
      </c>
      <c r="K6" s="133" t="s">
        <v>45</v>
      </c>
      <c r="L6" s="130" t="e">
        <f>(-$E$15+SQRT($N$7))/(2*$E$14)</f>
        <v>#NUM!</v>
      </c>
      <c r="M6" s="138" t="s">
        <v>23</v>
      </c>
      <c r="N6" s="92">
        <f>O6</f>
        <v>10000</v>
      </c>
      <c r="O6" s="89">
        <f>IF($G$16&gt;=1,MAX(1/L7,1/L8),G15)*N12</f>
        <v>10000</v>
      </c>
    </row>
    <row r="7" spans="2:15" ht="15.75" thickBot="1" x14ac:dyDescent="0.3">
      <c r="B7" s="190"/>
      <c r="C7" s="191"/>
      <c r="D7" s="191"/>
      <c r="E7" s="191"/>
      <c r="F7" s="191"/>
      <c r="G7" s="192"/>
      <c r="H7" s="80" t="s">
        <v>2</v>
      </c>
      <c r="I7" s="66">
        <v>1000</v>
      </c>
      <c r="K7" s="133" t="s">
        <v>42</v>
      </c>
      <c r="L7" s="130" t="e">
        <f>-1/L5</f>
        <v>#NUM!</v>
      </c>
      <c r="M7" s="111" t="s">
        <v>41</v>
      </c>
      <c r="N7" s="87">
        <f>E15^2-4*E14*1</f>
        <v>-3.0000000000000003E-4</v>
      </c>
      <c r="O7" s="224"/>
    </row>
    <row r="8" spans="2:15" ht="15.75" thickBot="1" x14ac:dyDescent="0.3">
      <c r="B8" s="190"/>
      <c r="C8" s="191"/>
      <c r="D8" s="191"/>
      <c r="E8" s="191"/>
      <c r="F8" s="191"/>
      <c r="G8" s="192"/>
      <c r="H8" s="14" t="s">
        <v>0</v>
      </c>
      <c r="I8" s="79">
        <v>100</v>
      </c>
      <c r="K8" s="80" t="s">
        <v>43</v>
      </c>
      <c r="L8" s="131" t="e">
        <f>-1/L6</f>
        <v>#NUM!</v>
      </c>
      <c r="M8" s="139" t="str">
        <f>IF($G$16&gt;=1,"1/T1","1/T")</f>
        <v>1/T</v>
      </c>
      <c r="N8" s="11">
        <f>IF($G$16&gt;=1,1/$L$7,$G$15)</f>
        <v>100</v>
      </c>
      <c r="O8" s="225"/>
    </row>
    <row r="9" spans="2:15" ht="15.75" thickBot="1" x14ac:dyDescent="0.3">
      <c r="B9" s="190"/>
      <c r="C9" s="191"/>
      <c r="D9" s="191"/>
      <c r="E9" s="191"/>
      <c r="F9" s="191"/>
      <c r="G9" s="192"/>
      <c r="H9" s="5" t="s">
        <v>3</v>
      </c>
      <c r="I9" s="65">
        <v>1E-4</v>
      </c>
      <c r="K9" s="140" t="s">
        <v>20</v>
      </c>
      <c r="L9" s="106">
        <f>20*LOG(G14)</f>
        <v>40</v>
      </c>
      <c r="M9" s="101" t="s">
        <v>67</v>
      </c>
      <c r="N9" s="13" t="e">
        <f>1/$L$8</f>
        <v>#NUM!</v>
      </c>
      <c r="O9" s="225"/>
    </row>
    <row r="10" spans="2:15" ht="15.75" thickBot="1" x14ac:dyDescent="0.3">
      <c r="B10" s="190"/>
      <c r="C10" s="191"/>
      <c r="D10" s="191"/>
      <c r="E10" s="191"/>
      <c r="F10" s="191"/>
      <c r="G10" s="192"/>
      <c r="H10" s="5" t="s">
        <v>4</v>
      </c>
      <c r="I10" s="65">
        <v>0.01</v>
      </c>
      <c r="K10" s="132" t="s">
        <v>79</v>
      </c>
      <c r="L10" s="141">
        <f>G15*SQRT(1-2*G16^2)</f>
        <v>70.710678118654755</v>
      </c>
      <c r="M10" s="139" t="str">
        <f>IF($G$16&gt;=1,"Log(1/T1)","Log(1/T)")</f>
        <v>Log(1/T)</v>
      </c>
      <c r="N10" s="11">
        <f>IF($G$16&gt;=1,LOG(1/$L$7),LOG($G$15))</f>
        <v>2</v>
      </c>
      <c r="O10" s="225"/>
    </row>
    <row r="11" spans="2:15" ht="15.75" thickBot="1" x14ac:dyDescent="0.3">
      <c r="B11" s="190"/>
      <c r="C11" s="191"/>
      <c r="D11" s="191"/>
      <c r="E11" s="191"/>
      <c r="F11" s="191"/>
      <c r="G11" s="192"/>
      <c r="H11" s="108" t="s">
        <v>0</v>
      </c>
      <c r="I11" s="64">
        <v>10</v>
      </c>
      <c r="K11" s="133" t="s">
        <v>82</v>
      </c>
      <c r="L11" s="142">
        <f>G14/(2*G16*SQRT(1-G16^2))</f>
        <v>115.47005383792516</v>
      </c>
      <c r="M11" s="101" t="s">
        <v>59</v>
      </c>
      <c r="N11" s="13" t="e">
        <f>LOG(1/L8)</f>
        <v>#NUM!</v>
      </c>
      <c r="O11" s="225"/>
    </row>
    <row r="12" spans="2:15" ht="15.75" thickBot="1" x14ac:dyDescent="0.3">
      <c r="B12" s="193"/>
      <c r="C12" s="194"/>
      <c r="D12" s="194"/>
      <c r="E12" s="194"/>
      <c r="F12" s="194"/>
      <c r="G12" s="195"/>
      <c r="H12" s="5" t="s">
        <v>34</v>
      </c>
      <c r="I12" s="65">
        <f>0.55*SQRT(10)</f>
        <v>1.739252713092609</v>
      </c>
      <c r="K12" s="140" t="s">
        <v>81</v>
      </c>
      <c r="L12" s="143">
        <f>20*LOG(L11)</f>
        <v>41.249387366082999</v>
      </c>
      <c r="M12" s="229" t="s">
        <v>65</v>
      </c>
      <c r="N12" s="230">
        <v>100</v>
      </c>
      <c r="O12" s="225"/>
    </row>
    <row r="13" spans="2:15" ht="15.75" thickBot="1" x14ac:dyDescent="0.3">
      <c r="B13" s="232" t="s">
        <v>61</v>
      </c>
      <c r="C13" s="233"/>
      <c r="D13" s="233"/>
      <c r="E13" s="233"/>
      <c r="F13" s="233"/>
      <c r="G13" s="234"/>
      <c r="H13" s="109" t="s">
        <v>6</v>
      </c>
      <c r="I13" s="66">
        <v>1</v>
      </c>
      <c r="K13" s="136" t="s">
        <v>77</v>
      </c>
      <c r="L13" s="144">
        <f>L11/G14</f>
        <v>1.1547005383792517</v>
      </c>
      <c r="M13" s="237"/>
      <c r="N13" s="238"/>
      <c r="O13" s="225"/>
    </row>
    <row r="14" spans="2:15" x14ac:dyDescent="0.25">
      <c r="B14" s="74" t="s">
        <v>62</v>
      </c>
      <c r="C14" s="81">
        <f>IF($B$4="K a b",1,IF($B$4="u v w t",$I$4,IF($B$4="K z w0",1,"Imp")))</f>
        <v>1</v>
      </c>
      <c r="D14" s="74" t="s">
        <v>3</v>
      </c>
      <c r="E14" s="85">
        <f>IF($B$4="K a b",$I$9,IF($B$4="u v w t",$I$4/$I$6,IF($B$4="K z w0",1/$I$12^2,"Imp")))</f>
        <v>1E-4</v>
      </c>
      <c r="F14" s="74" t="s">
        <v>0</v>
      </c>
      <c r="G14" s="81">
        <f>IF($B$4="K a b",$I$8,IF($B$4="u v w t",$I$7/$I$6,IF($B$4="K z w0",$I$11,"Imp")))</f>
        <v>100</v>
      </c>
      <c r="K14" s="128" t="s">
        <v>70</v>
      </c>
      <c r="L14" s="235">
        <f>L9-L15</f>
        <v>33.979400086720375</v>
      </c>
      <c r="M14" s="240" t="s">
        <v>85</v>
      </c>
      <c r="N14" s="255">
        <f>IF($G$14&gt;1,$G$15*SQRT(SQRT((2*$G$16^2-1)^2+($G$14^2-1))+(1-2*$G$16^2)),"RAS")</f>
        <v>1002.4781789629382</v>
      </c>
      <c r="O14" s="9"/>
    </row>
    <row r="15" spans="2:15" ht="15.75" customHeight="1" thickBot="1" x14ac:dyDescent="0.3">
      <c r="B15" s="82" t="s">
        <v>63</v>
      </c>
      <c r="C15" s="83">
        <f>IF($B$4="K a b",$I$10/$I$9,IF($B$4="u v w t",$I$5,IF($B$4="K z w0",2*$I$13*$I$12,"Imp")))</f>
        <v>100</v>
      </c>
      <c r="D15" s="76" t="s">
        <v>4</v>
      </c>
      <c r="E15" s="86">
        <f>IF($B$4="K a b",$I$10,IF($B$4="u v w t",$I$5/$I$6,IF($B$4="K z w0",2*$I$13/$I$12,"Imp")))</f>
        <v>0.01</v>
      </c>
      <c r="F15" s="82" t="s">
        <v>34</v>
      </c>
      <c r="G15" s="83">
        <f>IF($B$4="K a b",1/SQRT($I$9),IF($B$4="u v w t",SQRT($I$6/$I$4),IF($B$4="K z w0",$I$12,"Imp")))</f>
        <v>100</v>
      </c>
      <c r="K15" s="129" t="s">
        <v>80</v>
      </c>
      <c r="L15" s="236">
        <f>20*LOG(2*I13)</f>
        <v>6.0205999132796242</v>
      </c>
      <c r="M15" s="241" t="s">
        <v>83</v>
      </c>
      <c r="N15" s="239">
        <f>-ACOS((1-$E$14*$N$14^2)/SQRT((1-$E$14*$N$14^2)^2+($E$15*$N$14)^2))</f>
        <v>-3.0411761629511789</v>
      </c>
      <c r="O15" s="11">
        <f>N15*180/PI()</f>
        <v>-174.24655889289247</v>
      </c>
    </row>
    <row r="16" spans="2:15" ht="15.75" thickBot="1" x14ac:dyDescent="0.3">
      <c r="B16" s="82" t="s">
        <v>64</v>
      </c>
      <c r="C16" s="83">
        <f>$I$12^2</f>
        <v>3.0250000000000012</v>
      </c>
      <c r="F16" s="76" t="s">
        <v>6</v>
      </c>
      <c r="G16" s="84">
        <f>IF($B$4="K a b",$I$10/(2*SQRT($I$9)),IF($B$4="u v w t",$I$5/(2*SQRT($I$4*$I$6)),IF($B$4="K z w0",$I$13,"Imp")))</f>
        <v>0.5</v>
      </c>
      <c r="M16" s="12" t="s">
        <v>84</v>
      </c>
      <c r="N16" s="256">
        <f>PI()+N15</f>
        <v>0.10041649063861424</v>
      </c>
      <c r="O16" s="13">
        <f>N16*180/PI()</f>
        <v>5.7534411071075366</v>
      </c>
    </row>
    <row r="17" spans="2:17" ht="15.75" thickBot="1" x14ac:dyDescent="0.3">
      <c r="B17" s="76" t="s">
        <v>2</v>
      </c>
      <c r="C17" s="84">
        <f>IF($B$4="K a b",$I$8/$I$9,IF($B$4="u v w t",$I$7,IF($B$4="K z w0",$I$11*$I$12^2,"Imp")))</f>
        <v>1000000</v>
      </c>
    </row>
    <row r="18" spans="2:17" ht="15.75" thickBot="1" x14ac:dyDescent="0.3"/>
    <row r="19" spans="2:17" ht="15.75" thickBot="1" x14ac:dyDescent="0.3">
      <c r="B19" s="16" t="s">
        <v>58</v>
      </c>
      <c r="C19" s="183" t="s">
        <v>12</v>
      </c>
      <c r="D19" s="184"/>
      <c r="E19" s="183" t="s">
        <v>13</v>
      </c>
      <c r="F19" s="184"/>
      <c r="G19" s="183" t="s">
        <v>14</v>
      </c>
      <c r="H19" s="184"/>
      <c r="I19" s="183" t="s">
        <v>15</v>
      </c>
      <c r="J19" s="184"/>
      <c r="K19" s="183" t="s">
        <v>56</v>
      </c>
      <c r="L19" s="184"/>
      <c r="M19" s="198" t="s">
        <v>57</v>
      </c>
      <c r="N19" s="153"/>
    </row>
    <row r="20" spans="2:17" x14ac:dyDescent="0.25">
      <c r="B20" s="180" t="s">
        <v>1</v>
      </c>
      <c r="C20" s="6" t="s">
        <v>8</v>
      </c>
      <c r="D20" s="10">
        <f>N5</f>
        <v>1</v>
      </c>
      <c r="E20" s="6" t="s">
        <v>10</v>
      </c>
      <c r="F20" s="10">
        <f>IF($G$16&gt;=1,MIN(-L5,-L6),G15)</f>
        <v>100</v>
      </c>
      <c r="G20" s="6" t="s">
        <v>16</v>
      </c>
      <c r="H20" s="10">
        <f>IF($G$16&gt;=1,MAX(-L5,-L6),G15)</f>
        <v>100</v>
      </c>
      <c r="I20" s="6" t="s">
        <v>18</v>
      </c>
      <c r="J20" s="10">
        <f>N6</f>
        <v>10000</v>
      </c>
      <c r="K20" s="58"/>
      <c r="L20" s="59"/>
      <c r="M20" s="58"/>
      <c r="N20" s="59"/>
    </row>
    <row r="21" spans="2:17" ht="15.75" thickBot="1" x14ac:dyDescent="0.3">
      <c r="B21" s="181"/>
      <c r="C21" s="8" t="s">
        <v>9</v>
      </c>
      <c r="D21" s="13">
        <f>L9</f>
        <v>40</v>
      </c>
      <c r="E21" s="8" t="s">
        <v>11</v>
      </c>
      <c r="F21" s="13">
        <f>L9</f>
        <v>40</v>
      </c>
      <c r="G21" s="20" t="s">
        <v>17</v>
      </c>
      <c r="H21" s="13">
        <f>F21-20*(LOG(H20)-LOG(F20))</f>
        <v>40</v>
      </c>
      <c r="I21" s="8" t="s">
        <v>19</v>
      </c>
      <c r="J21" s="13">
        <f>H21-40*(LOG(J20)-LOG(H20))</f>
        <v>-40</v>
      </c>
      <c r="K21" s="60"/>
      <c r="L21" s="61"/>
      <c r="M21" s="60"/>
      <c r="N21" s="61"/>
    </row>
    <row r="22" spans="2:17" x14ac:dyDescent="0.25">
      <c r="B22" s="182" t="s">
        <v>26</v>
      </c>
      <c r="C22" s="6" t="s">
        <v>8</v>
      </c>
      <c r="D22" s="10">
        <f>D20</f>
        <v>1</v>
      </c>
      <c r="E22" s="6" t="s">
        <v>10</v>
      </c>
      <c r="F22" s="10">
        <f>F20</f>
        <v>100</v>
      </c>
      <c r="G22" s="6" t="s">
        <v>16</v>
      </c>
      <c r="H22" s="10">
        <f>F20</f>
        <v>100</v>
      </c>
      <c r="I22" s="6" t="s">
        <v>18</v>
      </c>
      <c r="J22" s="10">
        <f>H20</f>
        <v>100</v>
      </c>
      <c r="K22" s="6" t="s">
        <v>48</v>
      </c>
      <c r="L22" s="10">
        <f>H20</f>
        <v>100</v>
      </c>
      <c r="M22" s="6" t="s">
        <v>50</v>
      </c>
      <c r="N22" s="10">
        <f>J20</f>
        <v>10000</v>
      </c>
    </row>
    <row r="23" spans="2:17" ht="15.75" thickBot="1" x14ac:dyDescent="0.3">
      <c r="B23" s="181"/>
      <c r="C23" s="8" t="s">
        <v>9</v>
      </c>
      <c r="D23" s="13">
        <v>0</v>
      </c>
      <c r="E23" s="8" t="s">
        <v>11</v>
      </c>
      <c r="F23" s="13">
        <v>0</v>
      </c>
      <c r="G23" s="8" t="s">
        <v>17</v>
      </c>
      <c r="H23" s="13">
        <v>-90</v>
      </c>
      <c r="I23" s="8" t="s">
        <v>19</v>
      </c>
      <c r="J23" s="13">
        <v>-90</v>
      </c>
      <c r="K23" s="8" t="s">
        <v>49</v>
      </c>
      <c r="L23" s="13">
        <v>-180</v>
      </c>
      <c r="M23" s="8" t="s">
        <v>51</v>
      </c>
      <c r="N23" s="13">
        <v>-180</v>
      </c>
    </row>
    <row r="24" spans="2:17" ht="15.75" thickBot="1" x14ac:dyDescent="0.3"/>
    <row r="25" spans="2:17" x14ac:dyDescent="0.25">
      <c r="B25" s="151"/>
      <c r="C25" s="152"/>
      <c r="D25" s="152"/>
      <c r="E25" s="152"/>
      <c r="F25" s="158"/>
      <c r="G25" s="21"/>
      <c r="H25" s="151"/>
      <c r="I25" s="152"/>
      <c r="J25" s="152"/>
      <c r="K25" s="152"/>
      <c r="L25" s="158"/>
      <c r="O25" s="134"/>
    </row>
    <row r="26" spans="2:17" ht="15.75" thickBot="1" x14ac:dyDescent="0.3">
      <c r="B26" s="159"/>
      <c r="C26" s="160"/>
      <c r="D26" s="160"/>
      <c r="E26" s="160"/>
      <c r="F26" s="161"/>
      <c r="G26" s="21"/>
      <c r="H26" s="159"/>
      <c r="I26" s="160"/>
      <c r="J26" s="160"/>
      <c r="K26" s="160"/>
      <c r="L26" s="161"/>
    </row>
    <row r="27" spans="2:17" x14ac:dyDescent="0.25">
      <c r="B27" s="34" t="s">
        <v>27</v>
      </c>
      <c r="C27" s="73">
        <v>10</v>
      </c>
      <c r="D27" s="18"/>
      <c r="E27" s="14" t="s">
        <v>7</v>
      </c>
      <c r="F27" s="78">
        <f>2*PI()/C28</f>
        <v>0.62831853071795862</v>
      </c>
      <c r="G27" s="21"/>
      <c r="H27" s="205" t="str">
        <f>"sg(t) = "&amp;TEXT($F$33,"0,00")&amp;" sin("&amp;TEXT($C$28,"0,00")&amp;" t - "&amp;TEXT(ABS($F$35),"0,00")&amp;")"</f>
        <v>sg(t) = 1000,00 sin(10,00 t - 0,00)</v>
      </c>
      <c r="I27" s="206"/>
      <c r="J27" s="206"/>
      <c r="K27" s="206"/>
      <c r="L27" s="207"/>
    </row>
    <row r="28" spans="2:17" ht="15.75" thickBot="1" x14ac:dyDescent="0.3">
      <c r="B28" s="8" t="s">
        <v>21</v>
      </c>
      <c r="C28" s="2">
        <v>10</v>
      </c>
      <c r="D28" s="18"/>
      <c r="E28" s="63" t="s">
        <v>39</v>
      </c>
      <c r="F28" s="22">
        <f>1/F27</f>
        <v>1.5915494309189535</v>
      </c>
      <c r="G28" s="21"/>
      <c r="H28" s="208"/>
      <c r="I28" s="209"/>
      <c r="J28" s="209"/>
      <c r="K28" s="209"/>
      <c r="L28" s="210"/>
    </row>
    <row r="29" spans="2:17" x14ac:dyDescent="0.25">
      <c r="B29" s="199" t="str">
        <f>"e(t) = "&amp;TEXT($C$27,"0,00")&amp;" sin("&amp;TEXT($C$28,"0,00")&amp;" t)"</f>
        <v>e(t) = 10,00 sin(10,00 t)</v>
      </c>
      <c r="C29" s="200"/>
      <c r="D29" s="200"/>
      <c r="E29" s="200"/>
      <c r="F29" s="201"/>
      <c r="G29" s="21"/>
      <c r="H29" s="208" t="str">
        <f>"sc(t) = "&amp;TEXT($L$33,"0,00")&amp;" sin("&amp;TEXT($C$28,"0,00")&amp;" t - "&amp;TEXT(ABS($L$35),"0,00")&amp;")"</f>
        <v>sc(t) = 1004,99 sin(10,00 t - 0,10)</v>
      </c>
      <c r="I29" s="209"/>
      <c r="J29" s="209"/>
      <c r="K29" s="209"/>
      <c r="L29" s="210"/>
    </row>
    <row r="30" spans="2:17" ht="15.75" thickBot="1" x14ac:dyDescent="0.3">
      <c r="B30" s="202"/>
      <c r="C30" s="203"/>
      <c r="D30" s="203"/>
      <c r="E30" s="203"/>
      <c r="F30" s="204"/>
      <c r="G30" s="21"/>
      <c r="H30" s="211"/>
      <c r="I30" s="212"/>
      <c r="J30" s="212"/>
      <c r="K30" s="212"/>
      <c r="L30" s="213"/>
    </row>
    <row r="31" spans="2:17" ht="15.75" thickBot="1" x14ac:dyDescent="0.3"/>
    <row r="32" spans="2:17" ht="15.75" thickBot="1" x14ac:dyDescent="0.3">
      <c r="B32" s="187" t="s">
        <v>46</v>
      </c>
      <c r="C32" s="188"/>
      <c r="D32" s="215"/>
      <c r="E32" s="188"/>
      <c r="F32" s="189"/>
      <c r="H32" s="214" t="s">
        <v>47</v>
      </c>
      <c r="I32" s="215"/>
      <c r="J32" s="215"/>
      <c r="K32" s="188"/>
      <c r="L32" s="189"/>
      <c r="Q32" s="25"/>
    </row>
    <row r="33" spans="2:17" ht="15.75" thickBot="1" x14ac:dyDescent="0.3">
      <c r="B33" s="95" t="s">
        <v>68</v>
      </c>
      <c r="C33" s="87">
        <f>LOG(C28)</f>
        <v>1</v>
      </c>
      <c r="D33" s="226"/>
      <c r="E33" s="26" t="s">
        <v>28</v>
      </c>
      <c r="F33" s="27">
        <f>$C$27*C35</f>
        <v>1000.0000000000005</v>
      </c>
      <c r="H33" s="6" t="s">
        <v>60</v>
      </c>
      <c r="I33" s="9">
        <f>1-$E$14*C28^2</f>
        <v>0.99</v>
      </c>
      <c r="J33" s="124" t="s">
        <v>74</v>
      </c>
      <c r="K33" s="26" t="s">
        <v>28</v>
      </c>
      <c r="L33" s="27">
        <f>$C$27*I35</f>
        <v>1004.987059618685</v>
      </c>
      <c r="Q33" s="25"/>
    </row>
    <row r="34" spans="2:17" ht="15.75" thickBot="1" x14ac:dyDescent="0.3">
      <c r="B34" s="68" t="s">
        <v>1</v>
      </c>
      <c r="C34" s="71">
        <f>IF($C$28&lt;$F$20,$F$21,IF($C$28&lt;$H$20,$F$21-20*(LOG($C$28)-LOG($F$20)),$H$21-40*(LOG($C$28)-LOG($H$20))))</f>
        <v>40</v>
      </c>
      <c r="D34" s="227"/>
      <c r="E34" s="28" t="s">
        <v>31</v>
      </c>
      <c r="F34" s="29">
        <f>IF($C$28&lt;$F$22,$F$23,IF($C$28=$F$22,($J$23-$F$23)/2,IF($C$28&lt;$J$22,$J$23,$N$23)))</f>
        <v>0</v>
      </c>
      <c r="G34" s="21"/>
      <c r="H34" s="8" t="s">
        <v>71</v>
      </c>
      <c r="I34" s="30">
        <f>$E$15*C28</f>
        <v>0.1</v>
      </c>
      <c r="J34" s="100">
        <f>$G$14*(1-C28^2/$G$15^2)/((1-C28^2/$G$15^2)^2+(2*$G$16*C28/$G$15)^2)</f>
        <v>99.989900010099987</v>
      </c>
      <c r="K34" s="28" t="s">
        <v>31</v>
      </c>
      <c r="L34" s="31">
        <f>I37*180/PI()</f>
        <v>-5.7678888979141014</v>
      </c>
    </row>
    <row r="35" spans="2:17" ht="15.75" thickBot="1" x14ac:dyDescent="0.3">
      <c r="B35" s="67" t="s">
        <v>29</v>
      </c>
      <c r="C35" s="33">
        <f>EXP((C34/20)*LN(10))</f>
        <v>100.00000000000004</v>
      </c>
      <c r="D35" s="228"/>
      <c r="E35" s="28" t="s">
        <v>30</v>
      </c>
      <c r="F35" s="31">
        <f>F34*PI()/180</f>
        <v>0</v>
      </c>
      <c r="G35" s="21"/>
      <c r="H35" s="68" t="s">
        <v>29</v>
      </c>
      <c r="I35" s="71">
        <f>$G$14/SQRT((1-$E$14*C28^2)^2+($E$15*C28)^2)</f>
        <v>100.4987059618685</v>
      </c>
      <c r="J35" s="125" t="s">
        <v>75</v>
      </c>
      <c r="K35" s="28" t="s">
        <v>30</v>
      </c>
      <c r="L35" s="31">
        <f>L34*PI()/180</f>
        <v>-0.10066865215782816</v>
      </c>
    </row>
    <row r="36" spans="2:17" ht="15.75" thickBot="1" x14ac:dyDescent="0.3">
      <c r="B36" s="21"/>
      <c r="D36" s="21"/>
      <c r="E36" s="32" t="s">
        <v>76</v>
      </c>
      <c r="F36" s="33">
        <f>F35/$C$28</f>
        <v>0</v>
      </c>
      <c r="G36" s="21"/>
      <c r="H36" s="69" t="s">
        <v>1</v>
      </c>
      <c r="I36" s="70">
        <f>20*LOG(I35)</f>
        <v>40.043209394883775</v>
      </c>
      <c r="J36" s="126">
        <f>-$G$14*(2*$G$16*C28/$G$15)/((1-C28^2/$G$15^2)^2+(2*$G$16*C28/$G$15)^2)</f>
        <v>-10.099989900010101</v>
      </c>
      <c r="K36" s="32" t="s">
        <v>76</v>
      </c>
      <c r="L36" s="146">
        <f>L35/$C$28</f>
        <v>-1.0066865215782816E-2</v>
      </c>
    </row>
    <row r="37" spans="2:17" ht="15.75" thickBot="1" x14ac:dyDescent="0.3">
      <c r="B37" s="183" t="s">
        <v>54</v>
      </c>
      <c r="C37" s="184"/>
      <c r="D37" s="21"/>
      <c r="E37" s="35"/>
      <c r="F37" s="36"/>
      <c r="G37" s="21"/>
      <c r="H37" s="67" t="s">
        <v>26</v>
      </c>
      <c r="I37" s="33">
        <f>-ACOS(I33/SQRT(I33^2+I34^2))</f>
        <v>-0.10066865215782816</v>
      </c>
      <c r="J37" s="127">
        <v>0</v>
      </c>
      <c r="K37" s="218"/>
      <c r="L37" s="231"/>
    </row>
    <row r="38" spans="2:17" ht="15.75" thickBot="1" x14ac:dyDescent="0.3">
      <c r="B38" s="34" t="s">
        <v>55</v>
      </c>
      <c r="C38" s="37">
        <v>0</v>
      </c>
      <c r="D38" s="21"/>
      <c r="E38" s="147" t="s">
        <v>32</v>
      </c>
      <c r="F38" s="148">
        <f>LOG(C28)</f>
        <v>1</v>
      </c>
      <c r="G38" s="21"/>
      <c r="J38" s="21"/>
      <c r="K38" s="21"/>
      <c r="L38" s="21"/>
    </row>
    <row r="39" spans="2:17" x14ac:dyDescent="0.25">
      <c r="B39" s="7" t="s">
        <v>52</v>
      </c>
      <c r="C39" s="11">
        <f>MIN(F34,L34)</f>
        <v>-5.7678888979141014</v>
      </c>
      <c r="D39" s="21"/>
      <c r="E39" s="35"/>
      <c r="F39" s="36"/>
      <c r="G39" s="21"/>
      <c r="H39" s="18"/>
      <c r="I39" s="19"/>
      <c r="J39" s="21"/>
      <c r="K39" s="21"/>
      <c r="L39" s="21"/>
    </row>
    <row r="40" spans="2:17" ht="15.75" thickBot="1" x14ac:dyDescent="0.3">
      <c r="B40" s="12" t="s">
        <v>53</v>
      </c>
      <c r="C40" s="13">
        <f>IF(I36&gt;0,MAX(C34,I36),MIN(C34,I36))</f>
        <v>40.043209394883775</v>
      </c>
      <c r="D40" s="21"/>
      <c r="E40" s="35"/>
      <c r="F40" s="36"/>
      <c r="G40" s="21"/>
      <c r="H40" s="18"/>
      <c r="I40" s="19"/>
      <c r="J40" s="21"/>
      <c r="K40" s="21"/>
      <c r="L40" s="21"/>
    </row>
    <row r="41" spans="2:17" ht="15.75" thickBot="1" x14ac:dyDescent="0.3">
      <c r="B41" s="21"/>
      <c r="C41" s="21"/>
      <c r="D41" s="21"/>
      <c r="E41" s="35"/>
      <c r="F41" s="36"/>
      <c r="G41" s="198" t="s">
        <v>73</v>
      </c>
      <c r="H41" s="153"/>
      <c r="I41" s="19"/>
      <c r="J41" s="21"/>
      <c r="K41" s="21"/>
      <c r="L41" s="21"/>
    </row>
    <row r="42" spans="2:17" ht="15.75" thickBot="1" x14ac:dyDescent="0.3">
      <c r="B42" s="38" t="s">
        <v>5</v>
      </c>
      <c r="C42" s="39" t="s">
        <v>32</v>
      </c>
      <c r="D42" s="40" t="s">
        <v>21</v>
      </c>
      <c r="E42" s="40" t="s">
        <v>29</v>
      </c>
      <c r="F42" s="40" t="s">
        <v>1</v>
      </c>
      <c r="G42" s="40" t="s">
        <v>60</v>
      </c>
      <c r="H42" s="40" t="s">
        <v>71</v>
      </c>
      <c r="I42" s="40" t="s">
        <v>30</v>
      </c>
      <c r="J42" s="41" t="s">
        <v>31</v>
      </c>
      <c r="K42" s="96" t="s">
        <v>74</v>
      </c>
      <c r="L42" s="97" t="s">
        <v>75</v>
      </c>
    </row>
    <row r="43" spans="2:17" x14ac:dyDescent="0.25">
      <c r="B43" s="42">
        <v>1</v>
      </c>
      <c r="C43" s="62">
        <f>LOG(N5)</f>
        <v>0</v>
      </c>
      <c r="D43" s="44">
        <f>EXP(C43*LN(10))</f>
        <v>1</v>
      </c>
      <c r="E43" s="44">
        <f>$G$14/SQRT((1-$E$14*D43^2)^2+($E$15*D43)^2)</f>
        <v>100.00499987495624</v>
      </c>
      <c r="F43" s="44">
        <f>20*LOG(E43)</f>
        <v>40.000434272764281</v>
      </c>
      <c r="G43" s="44">
        <f>1-$E$14*D43^2</f>
        <v>0.99990000000000001</v>
      </c>
      <c r="H43" s="44">
        <f>$E$15*D43</f>
        <v>0.01</v>
      </c>
      <c r="I43" s="44">
        <f>-ACOS(G43/SQRT(G43^2+H43^2))</f>
        <v>-1.0000666686664994E-2</v>
      </c>
      <c r="J43" s="10">
        <f>I43*180/PI()</f>
        <v>-0.57299599346298502</v>
      </c>
      <c r="K43" s="116">
        <f>$G$14*(1-D43^2/$G$15^2)/((1-D43^2/$G$15^2)^2+(2*$G$16*D43/$G$15)^2)</f>
        <v>99.999998999899987</v>
      </c>
      <c r="L43" s="10">
        <f>-$G$14*(2*$G$16*D43/$G$15)/((1-D43^2/$G$15^2)^2+(2*$G$16*D43/$G$15)^2)</f>
        <v>-1.0000999999989999</v>
      </c>
    </row>
    <row r="44" spans="2:17" x14ac:dyDescent="0.25">
      <c r="B44" s="42">
        <v>2</v>
      </c>
      <c r="C44" s="46">
        <f t="shared" ref="C44:C91" si="0">C43+($C$92-$C$43)/($B$92-$B$43)</f>
        <v>8.1632653061224483E-2</v>
      </c>
      <c r="D44" s="47">
        <f t="shared" ref="D44:D61" si="1">EXP(C44*LN(10))</f>
        <v>1.2067926406393286</v>
      </c>
      <c r="E44" s="47">
        <f t="shared" ref="E44:E92" si="2">$G$14/SQRT((1-$E$14*D44^2)^2+($E$15*D44)^2)</f>
        <v>100.00728147713349</v>
      </c>
      <c r="F44" s="47">
        <f t="shared" ref="F44:F61" si="3">20*LOG(E44)</f>
        <v>40.0006324380427</v>
      </c>
      <c r="G44" s="47">
        <f t="shared" ref="G44:G92" si="4">1-$E$14*D44^2</f>
        <v>0.9998543651522499</v>
      </c>
      <c r="H44" s="47">
        <f t="shared" ref="H44:H92" si="5">$E$15*D44</f>
        <v>1.2067926406393287E-2</v>
      </c>
      <c r="I44" s="47">
        <f t="shared" ref="I44:I92" si="6">-ACOS(G44/SQRT(G44^2+H44^2))</f>
        <v>-1.2069098131331613E-2</v>
      </c>
      <c r="J44" s="11">
        <f t="shared" ref="J44:J61" si="7">I44*180/PI()</f>
        <v>-0.69150838545452997</v>
      </c>
      <c r="K44" s="113">
        <f t="shared" ref="K44:K92" si="8">$G$14*(1-D44^2/$G$15^2)/((1-D44^2/$G$15^2)^2+(2*$G$16*D44/$G$15)^2)</f>
        <v>99.999997878740217</v>
      </c>
      <c r="L44" s="11">
        <f t="shared" ref="L44:L92" si="9">-$G$14*(2*$G$16*D44/$G$15)/((1-D44^2/$G$15^2)^2+(2*$G$16*D44/$G$15)^2)</f>
        <v>-1.2069683916980858</v>
      </c>
    </row>
    <row r="45" spans="2:17" x14ac:dyDescent="0.25">
      <c r="B45" s="42">
        <v>3</v>
      </c>
      <c r="C45" s="46">
        <f t="shared" si="0"/>
        <v>0.16326530612244897</v>
      </c>
      <c r="D45" s="47">
        <f t="shared" si="1"/>
        <v>1.4563484775012439</v>
      </c>
      <c r="E45" s="47">
        <f t="shared" si="2"/>
        <v>100.01060419171804</v>
      </c>
      <c r="F45" s="47">
        <f t="shared" si="3"/>
        <v>40.000921019557161</v>
      </c>
      <c r="G45" s="47">
        <f t="shared" si="4"/>
        <v>0.99978790491120795</v>
      </c>
      <c r="H45" s="47">
        <f t="shared" si="5"/>
        <v>1.4563484775012439E-2</v>
      </c>
      <c r="I45" s="47">
        <f t="shared" si="6"/>
        <v>-1.456554413507738E-2</v>
      </c>
      <c r="J45" s="11">
        <f t="shared" si="7"/>
        <v>-0.83454420525146289</v>
      </c>
      <c r="K45" s="113">
        <f t="shared" si="8"/>
        <v>99.999995500613224</v>
      </c>
      <c r="L45" s="11">
        <f t="shared" si="9"/>
        <v>-1.4566573618469938</v>
      </c>
    </row>
    <row r="46" spans="2:17" x14ac:dyDescent="0.25">
      <c r="B46" s="42">
        <v>4</v>
      </c>
      <c r="C46" s="46">
        <f t="shared" si="0"/>
        <v>0.24489795918367346</v>
      </c>
      <c r="D46" s="47">
        <f t="shared" si="1"/>
        <v>1.757510624854792</v>
      </c>
      <c r="E46" s="47">
        <f t="shared" si="2"/>
        <v>100.01544302407345</v>
      </c>
      <c r="F46" s="47">
        <f t="shared" si="3"/>
        <v>40.001341260464883</v>
      </c>
      <c r="G46" s="47">
        <f t="shared" si="4"/>
        <v>0.99969111564035229</v>
      </c>
      <c r="H46" s="47">
        <f t="shared" si="5"/>
        <v>1.7575106248547922E-2</v>
      </c>
      <c r="I46" s="47">
        <f t="shared" si="6"/>
        <v>-1.7578725700793107E-2</v>
      </c>
      <c r="J46" s="11">
        <f t="shared" si="7"/>
        <v>-1.0071867918735955</v>
      </c>
      <c r="K46" s="113">
        <f t="shared" si="8"/>
        <v>99.999990456098189</v>
      </c>
      <c r="L46" s="11">
        <f t="shared" si="9"/>
        <v>-1.758053492346914</v>
      </c>
    </row>
    <row r="47" spans="2:17" x14ac:dyDescent="0.25">
      <c r="B47" s="42">
        <v>5</v>
      </c>
      <c r="C47" s="46">
        <f t="shared" si="0"/>
        <v>0.32653061224489793</v>
      </c>
      <c r="D47" s="47">
        <f t="shared" si="1"/>
        <v>2.1209508879201908</v>
      </c>
      <c r="E47" s="47">
        <f t="shared" si="2"/>
        <v>100.02248962987404</v>
      </c>
      <c r="F47" s="47">
        <f t="shared" si="3"/>
        <v>40.001953204804835</v>
      </c>
      <c r="G47" s="47">
        <f t="shared" si="4"/>
        <v>0.9995501567331031</v>
      </c>
      <c r="H47" s="47">
        <f t="shared" si="5"/>
        <v>2.1209508879201908E-2</v>
      </c>
      <c r="I47" s="47">
        <f t="shared" si="6"/>
        <v>-2.1215870373819223E-2</v>
      </c>
      <c r="J47" s="11">
        <f t="shared" si="7"/>
        <v>-1.2155798311164816</v>
      </c>
      <c r="K47" s="113">
        <f t="shared" si="8"/>
        <v>99.999979755000538</v>
      </c>
      <c r="L47" s="11">
        <f t="shared" si="9"/>
        <v>-2.1219049832033838</v>
      </c>
    </row>
    <row r="48" spans="2:17" x14ac:dyDescent="0.25">
      <c r="B48" s="42">
        <v>6</v>
      </c>
      <c r="C48" s="46">
        <f t="shared" si="0"/>
        <v>0.4081632653061224</v>
      </c>
      <c r="D48" s="47">
        <f t="shared" si="1"/>
        <v>2.5595479226995357</v>
      </c>
      <c r="E48" s="47">
        <f t="shared" si="2"/>
        <v>100.03275105061834</v>
      </c>
      <c r="F48" s="47">
        <f t="shared" si="3"/>
        <v>40.002844254375844</v>
      </c>
      <c r="G48" s="47">
        <f t="shared" si="4"/>
        <v>0.99934487144314044</v>
      </c>
      <c r="H48" s="47">
        <f t="shared" si="5"/>
        <v>2.5595479226995357E-2</v>
      </c>
      <c r="I48" s="47">
        <f t="shared" si="6"/>
        <v>-2.5606660309293261E-2</v>
      </c>
      <c r="J48" s="11">
        <f t="shared" si="7"/>
        <v>-1.4671535631476631</v>
      </c>
      <c r="K48" s="113">
        <f t="shared" si="8"/>
        <v>99.999957052539727</v>
      </c>
      <c r="L48" s="11">
        <f t="shared" si="9"/>
        <v>-2.5612247549161897</v>
      </c>
    </row>
    <row r="49" spans="2:24" x14ac:dyDescent="0.25">
      <c r="B49" s="42">
        <v>7</v>
      </c>
      <c r="C49" s="46">
        <f t="shared" si="0"/>
        <v>0.48979591836734687</v>
      </c>
      <c r="D49" s="47">
        <f t="shared" si="1"/>
        <v>3.088843596477481</v>
      </c>
      <c r="E49" s="47">
        <f t="shared" si="2"/>
        <v>100.04769335706895</v>
      </c>
      <c r="F49" s="47">
        <f t="shared" si="3"/>
        <v>40.004141604803003</v>
      </c>
      <c r="G49" s="47">
        <f t="shared" si="4"/>
        <v>0.99904590452365005</v>
      </c>
      <c r="H49" s="47">
        <f t="shared" si="5"/>
        <v>3.0888435964774811E-2</v>
      </c>
      <c r="I49" s="47">
        <f t="shared" si="6"/>
        <v>-3.090808859582328E-2</v>
      </c>
      <c r="J49" s="11">
        <f t="shared" si="7"/>
        <v>-1.7709030293571049</v>
      </c>
      <c r="K49" s="113">
        <f t="shared" si="8"/>
        <v>99.999908883331145</v>
      </c>
      <c r="L49" s="11">
        <f t="shared" si="9"/>
        <v>-3.0917906454947772</v>
      </c>
    </row>
    <row r="50" spans="2:24" x14ac:dyDescent="0.25">
      <c r="B50" s="42">
        <v>8</v>
      </c>
      <c r="C50" s="46">
        <f t="shared" si="0"/>
        <v>0.5714285714285714</v>
      </c>
      <c r="D50" s="47">
        <f t="shared" si="1"/>
        <v>3.7275937203149403</v>
      </c>
      <c r="E50" s="47">
        <f t="shared" si="2"/>
        <v>100.0694505235214</v>
      </c>
      <c r="F50" s="47">
        <f t="shared" si="3"/>
        <v>40.006030302030268</v>
      </c>
      <c r="G50" s="47">
        <f t="shared" si="4"/>
        <v>0.99861050450562683</v>
      </c>
      <c r="H50" s="47">
        <f t="shared" si="5"/>
        <v>3.7275937203149402E-2</v>
      </c>
      <c r="I50" s="47">
        <f t="shared" si="6"/>
        <v>-3.7310481413740604E-2</v>
      </c>
      <c r="J50" s="11">
        <f t="shared" si="7"/>
        <v>-2.1377331166086377</v>
      </c>
      <c r="K50" s="113">
        <f t="shared" si="8"/>
        <v>99.999806661958047</v>
      </c>
      <c r="L50" s="11">
        <f t="shared" si="9"/>
        <v>-3.7327731849802768</v>
      </c>
    </row>
    <row r="51" spans="2:24" x14ac:dyDescent="0.25">
      <c r="B51" s="42">
        <v>9</v>
      </c>
      <c r="C51" s="46">
        <f t="shared" si="0"/>
        <v>0.65306122448979587</v>
      </c>
      <c r="D51" s="47">
        <f t="shared" si="1"/>
        <v>4.4984326689694463</v>
      </c>
      <c r="E51" s="47">
        <f t="shared" si="2"/>
        <v>100.10112793293237</v>
      </c>
      <c r="F51" s="47">
        <f t="shared" si="3"/>
        <v>40.008779422171514</v>
      </c>
      <c r="G51" s="47">
        <f t="shared" si="4"/>
        <v>0.9979764103522748</v>
      </c>
      <c r="H51" s="47">
        <f t="shared" si="5"/>
        <v>4.4984326689694466E-2</v>
      </c>
      <c r="I51" s="47">
        <f t="shared" si="6"/>
        <v>-4.5045050022873179E-2</v>
      </c>
      <c r="J51" s="11">
        <f t="shared" si="7"/>
        <v>-2.5808912542663052</v>
      </c>
      <c r="K51" s="113">
        <f t="shared" si="8"/>
        <v>99.999589679854395</v>
      </c>
      <c r="L51" s="11">
        <f t="shared" si="9"/>
        <v>-4.5075356133979936</v>
      </c>
    </row>
    <row r="52" spans="2:24" x14ac:dyDescent="0.25">
      <c r="B52" s="42">
        <v>10</v>
      </c>
      <c r="C52" s="46">
        <f t="shared" si="0"/>
        <v>0.73469387755102034</v>
      </c>
      <c r="D52" s="47">
        <f t="shared" si="1"/>
        <v>5.4286754393238601</v>
      </c>
      <c r="E52" s="47">
        <f t="shared" si="2"/>
        <v>100.14724289922523</v>
      </c>
      <c r="F52" s="47">
        <f t="shared" si="3"/>
        <v>40.012779949249961</v>
      </c>
      <c r="G52" s="47">
        <f t="shared" si="4"/>
        <v>0.99705294829744817</v>
      </c>
      <c r="H52" s="47">
        <f t="shared" si="5"/>
        <v>5.4286754393238601E-2</v>
      </c>
      <c r="I52" s="47">
        <f t="shared" si="6"/>
        <v>-5.4393505739129155E-2</v>
      </c>
      <c r="J52" s="11">
        <f t="shared" si="7"/>
        <v>-3.1165183117727215</v>
      </c>
      <c r="K52" s="113">
        <f t="shared" si="8"/>
        <v>99.999128929100621</v>
      </c>
      <c r="L52" s="11">
        <f t="shared" si="9"/>
        <v>-5.4446738871608833</v>
      </c>
    </row>
    <row r="53" spans="2:24" x14ac:dyDescent="0.25">
      <c r="B53" s="42">
        <v>11</v>
      </c>
      <c r="C53" s="46">
        <f t="shared" si="0"/>
        <v>0.81632653061224481</v>
      </c>
      <c r="D53" s="47">
        <f t="shared" si="1"/>
        <v>6.5512855685955085</v>
      </c>
      <c r="E53" s="47">
        <f t="shared" si="2"/>
        <v>100.21436298557113</v>
      </c>
      <c r="F53" s="47">
        <f t="shared" si="3"/>
        <v>40.018599404346972</v>
      </c>
      <c r="G53" s="47">
        <f t="shared" si="4"/>
        <v>0.99570806573987125</v>
      </c>
      <c r="H53" s="47">
        <f t="shared" si="5"/>
        <v>6.5512855685955079E-2</v>
      </c>
      <c r="I53" s="47">
        <f t="shared" si="6"/>
        <v>-6.570054754614052E-2</v>
      </c>
      <c r="J53" s="11">
        <f t="shared" si="7"/>
        <v>-3.7643640860924492</v>
      </c>
      <c r="K53" s="113">
        <f t="shared" si="8"/>
        <v>99.998150024133722</v>
      </c>
      <c r="L53" s="11">
        <f t="shared" si="9"/>
        <v>-6.5794027354048268</v>
      </c>
    </row>
    <row r="54" spans="2:24" x14ac:dyDescent="0.25">
      <c r="B54" s="42">
        <v>12</v>
      </c>
      <c r="C54" s="46">
        <f t="shared" si="0"/>
        <v>0.89795918367346927</v>
      </c>
      <c r="D54" s="47">
        <f t="shared" si="1"/>
        <v>7.9060432109076979</v>
      </c>
      <c r="E54" s="47">
        <f t="shared" si="2"/>
        <v>100.31202850075391</v>
      </c>
      <c r="F54" s="47">
        <f t="shared" si="3"/>
        <v>40.027060255281469</v>
      </c>
      <c r="G54" s="47">
        <f t="shared" si="4"/>
        <v>0.99374944807472598</v>
      </c>
      <c r="H54" s="47">
        <f t="shared" si="5"/>
        <v>7.9060432109076983E-2</v>
      </c>
      <c r="I54" s="47">
        <f t="shared" si="6"/>
        <v>-7.9390494650192656E-2</v>
      </c>
      <c r="J54" s="11">
        <f t="shared" si="7"/>
        <v>-4.54874027691198</v>
      </c>
      <c r="K54" s="113">
        <f t="shared" si="8"/>
        <v>99.996068640492055</v>
      </c>
      <c r="L54" s="11">
        <f t="shared" si="9"/>
        <v>-7.9554584017557559</v>
      </c>
    </row>
    <row r="55" spans="2:24" x14ac:dyDescent="0.25">
      <c r="B55" s="42">
        <v>13</v>
      </c>
      <c r="C55" s="46">
        <f t="shared" si="0"/>
        <v>0.97959183673469374</v>
      </c>
      <c r="D55" s="47">
        <f t="shared" si="1"/>
        <v>9.5409547634999381</v>
      </c>
      <c r="E55" s="47">
        <f t="shared" si="2"/>
        <v>100.45408008647507</v>
      </c>
      <c r="F55" s="47">
        <f t="shared" si="3"/>
        <v>40.039351618709951</v>
      </c>
      <c r="G55" s="47">
        <f t="shared" si="4"/>
        <v>0.9908970182200848</v>
      </c>
      <c r="H55" s="47">
        <f t="shared" si="5"/>
        <v>9.5409547634999384E-2</v>
      </c>
      <c r="I55" s="47">
        <f t="shared" si="6"/>
        <v>-9.5990125998795861E-2</v>
      </c>
      <c r="J55" s="11">
        <f t="shared" si="7"/>
        <v>-5.499829094659999</v>
      </c>
      <c r="K55" s="113">
        <f t="shared" si="8"/>
        <v>99.991638147378268</v>
      </c>
      <c r="L55" s="11">
        <f t="shared" si="9"/>
        <v>-9.6277986385109653</v>
      </c>
    </row>
    <row r="56" spans="2:24" x14ac:dyDescent="0.25">
      <c r="B56" s="42">
        <v>14</v>
      </c>
      <c r="C56" s="46">
        <f t="shared" si="0"/>
        <v>1.0612244897959182</v>
      </c>
      <c r="D56" s="47">
        <f t="shared" si="1"/>
        <v>11.513953993264472</v>
      </c>
      <c r="E56" s="47">
        <f t="shared" si="2"/>
        <v>100.66055597010953</v>
      </c>
      <c r="F56" s="47">
        <f t="shared" si="3"/>
        <v>40.057186495409553</v>
      </c>
      <c r="G56" s="47">
        <f t="shared" si="4"/>
        <v>0.9867428863440989</v>
      </c>
      <c r="H56" s="47">
        <f t="shared" si="5"/>
        <v>0.11513953993264472</v>
      </c>
      <c r="I56" s="47">
        <f t="shared" si="6"/>
        <v>-0.11616115997126508</v>
      </c>
      <c r="J56" s="11">
        <f t="shared" si="7"/>
        <v>-6.6555442096974877</v>
      </c>
      <c r="K56" s="113">
        <f t="shared" si="8"/>
        <v>99.982191940062322</v>
      </c>
      <c r="L56" s="11">
        <f t="shared" si="9"/>
        <v>-11.666568607439347</v>
      </c>
    </row>
    <row r="57" spans="2:24" ht="15.75" thickBot="1" x14ac:dyDescent="0.3">
      <c r="B57" s="42">
        <v>15</v>
      </c>
      <c r="C57" s="46">
        <f t="shared" si="0"/>
        <v>1.1428571428571428</v>
      </c>
      <c r="D57" s="47">
        <f t="shared" si="1"/>
        <v>13.894954943731378</v>
      </c>
      <c r="E57" s="47">
        <f t="shared" si="2"/>
        <v>100.96037051909761</v>
      </c>
      <c r="F57" s="47">
        <f t="shared" si="3"/>
        <v>40.083018714804723</v>
      </c>
      <c r="G57" s="47">
        <f t="shared" si="4"/>
        <v>0.98069302271116754</v>
      </c>
      <c r="H57" s="47">
        <f t="shared" si="5"/>
        <v>0.13894954943731377</v>
      </c>
      <c r="I57" s="47">
        <f t="shared" si="6"/>
        <v>-0.14074822506929463</v>
      </c>
      <c r="J57" s="11">
        <f t="shared" si="7"/>
        <v>-8.064279270427992</v>
      </c>
      <c r="K57" s="113">
        <f t="shared" si="8"/>
        <v>99.962004650570933</v>
      </c>
      <c r="L57" s="11">
        <f t="shared" si="9"/>
        <v>-14.163122593295196</v>
      </c>
    </row>
    <row r="58" spans="2:24" ht="15.75" thickBot="1" x14ac:dyDescent="0.3">
      <c r="B58" s="42">
        <v>16</v>
      </c>
      <c r="C58" s="46">
        <f t="shared" si="0"/>
        <v>1.2244897959183674</v>
      </c>
      <c r="D58" s="47">
        <f t="shared" si="1"/>
        <v>16.768329368110084</v>
      </c>
      <c r="E58" s="47">
        <f t="shared" si="2"/>
        <v>101.39501134019264</v>
      </c>
      <c r="F58" s="47">
        <f t="shared" si="3"/>
        <v>40.120331762525652</v>
      </c>
      <c r="G58" s="47">
        <f t="shared" si="4"/>
        <v>0.97188231302025774</v>
      </c>
      <c r="H58" s="47">
        <f t="shared" si="5"/>
        <v>0.16768329368110085</v>
      </c>
      <c r="I58" s="47">
        <f t="shared" si="6"/>
        <v>-0.17085249608470088</v>
      </c>
      <c r="J58" s="11">
        <f t="shared" si="7"/>
        <v>-9.7891269449287819</v>
      </c>
      <c r="K58" s="113">
        <f t="shared" si="8"/>
        <v>99.918718378295964</v>
      </c>
      <c r="L58" s="11">
        <f t="shared" si="9"/>
        <v>-17.23943277247168</v>
      </c>
      <c r="U58" s="222" t="s">
        <v>38</v>
      </c>
      <c r="V58" s="223"/>
      <c r="W58" s="94">
        <v>2</v>
      </c>
    </row>
    <row r="59" spans="2:24" ht="15.75" thickBot="1" x14ac:dyDescent="0.3">
      <c r="B59" s="42">
        <v>17</v>
      </c>
      <c r="C59" s="46">
        <f t="shared" si="0"/>
        <v>1.306122448979592</v>
      </c>
      <c r="D59" s="47">
        <f t="shared" si="1"/>
        <v>20.235896477251586</v>
      </c>
      <c r="E59" s="47">
        <f t="shared" si="2"/>
        <v>102.02341294419655</v>
      </c>
      <c r="F59" s="47">
        <f t="shared" si="3"/>
        <v>40.173996953995356</v>
      </c>
      <c r="G59" s="47">
        <f t="shared" si="4"/>
        <v>0.95905084937619567</v>
      </c>
      <c r="H59" s="47">
        <f t="shared" si="5"/>
        <v>0.20235896477251586</v>
      </c>
      <c r="I59" s="47">
        <f t="shared" si="6"/>
        <v>-0.2079490008858409</v>
      </c>
      <c r="J59" s="11">
        <f t="shared" si="7"/>
        <v>-11.914600104720899</v>
      </c>
      <c r="K59" s="113">
        <f t="shared" si="8"/>
        <v>99.825462202486563</v>
      </c>
      <c r="L59" s="11">
        <f t="shared" si="9"/>
        <v>-21.063092955261279</v>
      </c>
    </row>
    <row r="60" spans="2:24" ht="15.75" thickBot="1" x14ac:dyDescent="0.3">
      <c r="B60" s="42">
        <v>18</v>
      </c>
      <c r="C60" s="46">
        <f t="shared" si="0"/>
        <v>1.3877551020408165</v>
      </c>
      <c r="D60" s="47">
        <f t="shared" si="1"/>
        <v>24.420530945486529</v>
      </c>
      <c r="E60" s="47">
        <f t="shared" si="2"/>
        <v>102.92771916164764</v>
      </c>
      <c r="F60" s="47">
        <f t="shared" si="3"/>
        <v>40.250646981702346</v>
      </c>
      <c r="G60" s="47">
        <f t="shared" si="4"/>
        <v>0.94036376683405343</v>
      </c>
      <c r="H60" s="47">
        <f t="shared" si="5"/>
        <v>0.24420530945486529</v>
      </c>
      <c r="I60" s="47">
        <f t="shared" si="6"/>
        <v>-0.25407990010884784</v>
      </c>
      <c r="J60" s="11">
        <f t="shared" si="7"/>
        <v>-14.557705935342529</v>
      </c>
      <c r="K60" s="113">
        <f t="shared" si="8"/>
        <v>99.623222373182699</v>
      </c>
      <c r="L60" s="11">
        <f t="shared" si="9"/>
        <v>-25.871392227756058</v>
      </c>
      <c r="Q60" s="52" t="s">
        <v>5</v>
      </c>
      <c r="R60" s="53" t="s">
        <v>2</v>
      </c>
      <c r="S60" s="40" t="s">
        <v>36</v>
      </c>
      <c r="T60" s="41" t="s">
        <v>37</v>
      </c>
      <c r="V60" s="115" t="s">
        <v>6</v>
      </c>
      <c r="W60" s="111" t="s">
        <v>78</v>
      </c>
      <c r="X60" s="110" t="s">
        <v>77</v>
      </c>
    </row>
    <row r="61" spans="2:24" x14ac:dyDescent="0.25">
      <c r="B61" s="42">
        <v>19</v>
      </c>
      <c r="C61" s="46">
        <f t="shared" si="0"/>
        <v>1.4693877551020411</v>
      </c>
      <c r="D61" s="47">
        <f t="shared" si="1"/>
        <v>29.470517025518134</v>
      </c>
      <c r="E61" s="47">
        <f t="shared" si="2"/>
        <v>104.21802033822901</v>
      </c>
      <c r="F61" s="47">
        <f t="shared" si="3"/>
        <v>40.358856386334892</v>
      </c>
      <c r="G61" s="47">
        <f t="shared" si="4"/>
        <v>0.91314886262486461</v>
      </c>
      <c r="H61" s="47">
        <f t="shared" si="5"/>
        <v>0.29470517025518134</v>
      </c>
      <c r="I61" s="47">
        <f t="shared" si="6"/>
        <v>-0.31218199352825415</v>
      </c>
      <c r="J61" s="11">
        <f t="shared" si="7"/>
        <v>-17.886710669149341</v>
      </c>
      <c r="K61" s="113">
        <f t="shared" si="8"/>
        <v>99.180711877024237</v>
      </c>
      <c r="L61" s="11">
        <f t="shared" si="9"/>
        <v>-32.009094876085122</v>
      </c>
      <c r="Q61" s="38">
        <v>1</v>
      </c>
      <c r="R61" s="43">
        <v>0</v>
      </c>
      <c r="S61" s="45">
        <f t="shared" ref="S61:S92" si="10">$C$27*SIN($C$28*R61)</f>
        <v>0</v>
      </c>
      <c r="T61" s="10">
        <f t="shared" ref="T61:T92" si="11">$L$33*SIN($C$28*R61+$L$35)</f>
        <v>-100.99989900010029</v>
      </c>
      <c r="V61" s="14">
        <v>0.05</v>
      </c>
      <c r="W61" s="112">
        <f>$G$14/(2*V61*SQRT(1-V61^2))</f>
        <v>1001.2523486435177</v>
      </c>
      <c r="X61" s="15">
        <f>W61/$G$14</f>
        <v>10.012523486435178</v>
      </c>
    </row>
    <row r="62" spans="2:24" x14ac:dyDescent="0.25">
      <c r="B62" s="42">
        <v>20</v>
      </c>
      <c r="C62" s="46">
        <f t="shared" si="0"/>
        <v>1.5510204081632657</v>
      </c>
      <c r="D62" s="47">
        <f t="shared" ref="D62:D91" si="12">EXP(C62*LN(10))</f>
        <v>35.564803062231341</v>
      </c>
      <c r="E62" s="47">
        <f t="shared" si="2"/>
        <v>106.02879706911587</v>
      </c>
      <c r="F62" s="47">
        <f t="shared" ref="F62:F91" si="13">20*LOG(E62)</f>
        <v>40.508476684485743</v>
      </c>
      <c r="G62" s="47">
        <f t="shared" si="4"/>
        <v>0.87351447831447004</v>
      </c>
      <c r="H62" s="47">
        <f t="shared" si="5"/>
        <v>0.35564803062231343</v>
      </c>
      <c r="I62" s="47">
        <f t="shared" si="6"/>
        <v>-0.38665160491002681</v>
      </c>
      <c r="J62" s="11">
        <f t="shared" ref="J62:J91" si="14">I62*180/PI()</f>
        <v>-22.153505103304312</v>
      </c>
      <c r="K62" s="113">
        <f t="shared" si="8"/>
        <v>98.201421899645922</v>
      </c>
      <c r="L62" s="11">
        <f t="shared" si="9"/>
        <v>-39.982327906357547</v>
      </c>
      <c r="Q62" s="42">
        <v>2</v>
      </c>
      <c r="R62" s="46">
        <f t="shared" ref="R62:R109" si="15">R61+$R$110/($Q$110-$Q$61)</f>
        <v>2.564565431501872E-2</v>
      </c>
      <c r="S62" s="47">
        <f t="shared" si="10"/>
        <v>2.5365458390950737</v>
      </c>
      <c r="T62" s="11">
        <f t="shared" si="11"/>
        <v>155.93228135189383</v>
      </c>
      <c r="V62" s="5">
        <v>0.1</v>
      </c>
      <c r="W62" s="113">
        <f t="shared" ref="W62:W68" si="16">$G$14/(2*V62*SQRT(1-V62^2))</f>
        <v>502.51890762960602</v>
      </c>
      <c r="X62" s="11">
        <f t="shared" ref="X62:X68" si="17">W62/$G$14</f>
        <v>5.0251890762960603</v>
      </c>
    </row>
    <row r="63" spans="2:24" x14ac:dyDescent="0.25">
      <c r="B63" s="42">
        <v>21</v>
      </c>
      <c r="C63" s="46">
        <f t="shared" si="0"/>
        <v>1.6326530612244903</v>
      </c>
      <c r="D63" s="47">
        <f t="shared" si="12"/>
        <v>42.919342601287845</v>
      </c>
      <c r="E63" s="47">
        <f t="shared" si="2"/>
        <v>108.482764920097</v>
      </c>
      <c r="F63" s="47">
        <f t="shared" si="13"/>
        <v>40.707214912140905</v>
      </c>
      <c r="G63" s="47">
        <f t="shared" si="4"/>
        <v>0.81579300306732783</v>
      </c>
      <c r="H63" s="47">
        <f t="shared" si="5"/>
        <v>0.42919342601287847</v>
      </c>
      <c r="I63" s="47">
        <f t="shared" si="6"/>
        <v>-0.48431347187340035</v>
      </c>
      <c r="J63" s="11">
        <f t="shared" si="14"/>
        <v>-27.749117899673742</v>
      </c>
      <c r="K63" s="113">
        <f t="shared" si="8"/>
        <v>96.006683467915096</v>
      </c>
      <c r="L63" s="11">
        <f t="shared" si="9"/>
        <v>-50.509672481620626</v>
      </c>
      <c r="Q63" s="42">
        <v>3</v>
      </c>
      <c r="R63" s="46">
        <f t="shared" si="15"/>
        <v>5.129130863003744E-2</v>
      </c>
      <c r="S63" s="47">
        <f t="shared" si="10"/>
        <v>4.9071755200393783</v>
      </c>
      <c r="T63" s="11">
        <f t="shared" si="11"/>
        <v>402.66488846738736</v>
      </c>
      <c r="V63" s="5">
        <v>0.2</v>
      </c>
      <c r="W63" s="113">
        <f t="shared" si="16"/>
        <v>255.15518153991437</v>
      </c>
      <c r="X63" s="11">
        <f t="shared" si="17"/>
        <v>2.5515518153991437</v>
      </c>
    </row>
    <row r="64" spans="2:24" x14ac:dyDescent="0.25">
      <c r="B64" s="42">
        <v>22</v>
      </c>
      <c r="C64" s="46">
        <f t="shared" si="0"/>
        <v>1.7142857142857149</v>
      </c>
      <c r="D64" s="47">
        <f t="shared" si="12"/>
        <v>51.794746792312196</v>
      </c>
      <c r="E64" s="47">
        <f t="shared" si="2"/>
        <v>111.54581714546865</v>
      </c>
      <c r="F64" s="47">
        <f t="shared" si="13"/>
        <v>40.949065786489236</v>
      </c>
      <c r="G64" s="47">
        <f t="shared" si="4"/>
        <v>0.73173042047202652</v>
      </c>
      <c r="H64" s="47">
        <f t="shared" si="5"/>
        <v>0.51794746792312196</v>
      </c>
      <c r="I64" s="47">
        <f t="shared" si="6"/>
        <v>-0.61596781246667531</v>
      </c>
      <c r="J64" s="11">
        <f t="shared" si="14"/>
        <v>-35.29235597024627</v>
      </c>
      <c r="K64" s="113">
        <f t="shared" si="8"/>
        <v>91.045333091732161</v>
      </c>
      <c r="L64" s="11">
        <f t="shared" si="9"/>
        <v>-64.445454803778588</v>
      </c>
      <c r="Q64" s="42">
        <v>4</v>
      </c>
      <c r="R64" s="46">
        <f t="shared" si="15"/>
        <v>7.6936962945056156E-2</v>
      </c>
      <c r="S64" s="47">
        <f t="shared" si="10"/>
        <v>6.956825506034864</v>
      </c>
      <c r="T64" s="11">
        <f t="shared" si="11"/>
        <v>623.0590749294812</v>
      </c>
      <c r="V64" s="5">
        <v>0.3</v>
      </c>
      <c r="W64" s="113">
        <f t="shared" si="16"/>
        <v>174.71413945365305</v>
      </c>
      <c r="X64" s="11">
        <f t="shared" si="17"/>
        <v>1.7471413945365304</v>
      </c>
    </row>
    <row r="65" spans="2:24" x14ac:dyDescent="0.25">
      <c r="B65" s="42">
        <v>23</v>
      </c>
      <c r="C65" s="46">
        <f t="shared" si="0"/>
        <v>1.7959183673469394</v>
      </c>
      <c r="D65" s="47">
        <f t="shared" si="12"/>
        <v>62.505519252739866</v>
      </c>
      <c r="E65" s="47">
        <f t="shared" si="2"/>
        <v>114.56115655647982</v>
      </c>
      <c r="F65" s="47">
        <f t="shared" si="13"/>
        <v>41.180747788444911</v>
      </c>
      <c r="G65" s="47">
        <f t="shared" si="4"/>
        <v>0.60930600629453657</v>
      </c>
      <c r="H65" s="47">
        <f t="shared" si="5"/>
        <v>0.62505519252739872</v>
      </c>
      <c r="I65" s="47">
        <f t="shared" si="6"/>
        <v>-0.79815644818488429</v>
      </c>
      <c r="J65" s="11">
        <f t="shared" si="14"/>
        <v>-45.730995872146046</v>
      </c>
      <c r="K65" s="113">
        <f t="shared" si="8"/>
        <v>79.966895879991341</v>
      </c>
      <c r="L65" s="11">
        <f t="shared" si="9"/>
        <v>-82.033859807258253</v>
      </c>
      <c r="Q65" s="42">
        <v>5</v>
      </c>
      <c r="R65" s="46">
        <f t="shared" si="15"/>
        <v>0.10258261726007488</v>
      </c>
      <c r="S65" s="47">
        <f t="shared" si="10"/>
        <v>8.5514276300534604</v>
      </c>
      <c r="T65" s="11">
        <f t="shared" si="11"/>
        <v>802.69879663088636</v>
      </c>
      <c r="V65" s="5">
        <v>0.4</v>
      </c>
      <c r="W65" s="113">
        <f t="shared" si="16"/>
        <v>136.38618139749525</v>
      </c>
      <c r="X65" s="11">
        <f t="shared" si="17"/>
        <v>1.3638618139749525</v>
      </c>
    </row>
    <row r="66" spans="2:24" x14ac:dyDescent="0.25">
      <c r="B66" s="42">
        <v>24</v>
      </c>
      <c r="C66" s="46">
        <f t="shared" si="0"/>
        <v>1.877551020408164</v>
      </c>
      <c r="D66" s="47">
        <f t="shared" si="12"/>
        <v>75.431200633546311</v>
      </c>
      <c r="E66" s="47">
        <f t="shared" si="2"/>
        <v>115.10542858593276</v>
      </c>
      <c r="F66" s="47">
        <f t="shared" si="13"/>
        <v>41.221916124953744</v>
      </c>
      <c r="G66" s="47">
        <f t="shared" si="4"/>
        <v>0.43101339709816822</v>
      </c>
      <c r="H66" s="47">
        <f t="shared" si="5"/>
        <v>0.75431200633546314</v>
      </c>
      <c r="I66" s="47">
        <f t="shared" si="6"/>
        <v>-1.0516722343104465</v>
      </c>
      <c r="J66" s="11">
        <f t="shared" si="14"/>
        <v>-60.256380457081995</v>
      </c>
      <c r="K66" s="113">
        <f t="shared" si="8"/>
        <v>57.1060842800172</v>
      </c>
      <c r="L66" s="11">
        <f t="shared" si="9"/>
        <v>-99.940756591867157</v>
      </c>
      <c r="Q66" s="42">
        <v>6</v>
      </c>
      <c r="R66" s="46">
        <f t="shared" si="15"/>
        <v>0.12822827157509359</v>
      </c>
      <c r="S66" s="47">
        <f t="shared" si="10"/>
        <v>9.5866785303666049</v>
      </c>
      <c r="T66" s="11">
        <f t="shared" si="11"/>
        <v>929.83377016785278</v>
      </c>
      <c r="V66" s="5">
        <v>0.5</v>
      </c>
      <c r="W66" s="113">
        <f t="shared" si="16"/>
        <v>115.47005383792516</v>
      </c>
      <c r="X66" s="11">
        <f t="shared" si="17"/>
        <v>1.1547005383792517</v>
      </c>
    </row>
    <row r="67" spans="2:24" x14ac:dyDescent="0.25">
      <c r="B67" s="42">
        <v>25</v>
      </c>
      <c r="C67" s="46">
        <f t="shared" si="0"/>
        <v>1.9591836734693886</v>
      </c>
      <c r="D67" s="47">
        <f t="shared" si="12"/>
        <v>91.029817799152397</v>
      </c>
      <c r="E67" s="47">
        <f t="shared" si="2"/>
        <v>107.95799725792456</v>
      </c>
      <c r="F67" s="47">
        <f t="shared" si="13"/>
        <v>40.665096386177964</v>
      </c>
      <c r="G67" s="47">
        <f t="shared" si="4"/>
        <v>0.17135722714531165</v>
      </c>
      <c r="H67" s="47">
        <f t="shared" si="5"/>
        <v>0.91029817799152402</v>
      </c>
      <c r="I67" s="47">
        <f t="shared" si="6"/>
        <v>-1.3847307422412596</v>
      </c>
      <c r="J67" s="11">
        <f t="shared" si="14"/>
        <v>-79.339227292442047</v>
      </c>
      <c r="K67" s="113">
        <f t="shared" si="8"/>
        <v>19.971563454789926</v>
      </c>
      <c r="L67" s="11">
        <f t="shared" si="9"/>
        <v>-106.09460789839108</v>
      </c>
      <c r="Q67" s="42">
        <v>7</v>
      </c>
      <c r="R67" s="46">
        <f t="shared" si="15"/>
        <v>0.15387392589011231</v>
      </c>
      <c r="S67" s="47">
        <f t="shared" si="10"/>
        <v>9.9948621620068785</v>
      </c>
      <c r="T67" s="11">
        <f t="shared" si="11"/>
        <v>996.14806209626875</v>
      </c>
      <c r="V67" s="5">
        <v>0.6</v>
      </c>
      <c r="W67" s="113">
        <f t="shared" si="16"/>
        <v>104.16666666666667</v>
      </c>
      <c r="X67" s="11">
        <f t="shared" si="17"/>
        <v>1.0416666666666667</v>
      </c>
    </row>
    <row r="68" spans="2:24" ht="15.75" thickBot="1" x14ac:dyDescent="0.3">
      <c r="B68" s="42">
        <v>26</v>
      </c>
      <c r="C68" s="46">
        <f t="shared" si="0"/>
        <v>2.0408163265306132</v>
      </c>
      <c r="D68" s="47">
        <f t="shared" si="12"/>
        <v>109.85411419875615</v>
      </c>
      <c r="E68" s="47">
        <f t="shared" si="2"/>
        <v>89.458614199644813</v>
      </c>
      <c r="F68" s="47">
        <f t="shared" si="13"/>
        <v>39.032443324953462</v>
      </c>
      <c r="G68" s="47">
        <f t="shared" si="4"/>
        <v>-0.20679264063933567</v>
      </c>
      <c r="H68" s="47">
        <f t="shared" si="5"/>
        <v>1.0985411419875615</v>
      </c>
      <c r="I68" s="47">
        <f t="shared" si="6"/>
        <v>-1.7568619113485437</v>
      </c>
      <c r="J68" s="11">
        <f t="shared" si="14"/>
        <v>-100.66077270755855</v>
      </c>
      <c r="K68" s="113">
        <f t="shared" si="8"/>
        <v>-16.549291719421266</v>
      </c>
      <c r="L68" s="11">
        <f t="shared" si="9"/>
        <v>-87.914530073852916</v>
      </c>
      <c r="Q68" s="42">
        <v>8</v>
      </c>
      <c r="R68" s="46">
        <f t="shared" si="15"/>
        <v>0.17951958020513104</v>
      </c>
      <c r="S68" s="47">
        <f t="shared" si="10"/>
        <v>9.7492791218182369</v>
      </c>
      <c r="T68" s="11">
        <f t="shared" si="11"/>
        <v>997.30403641615669</v>
      </c>
      <c r="V68" s="105">
        <v>0.7</v>
      </c>
      <c r="W68" s="114">
        <f t="shared" si="16"/>
        <v>100.02000600200071</v>
      </c>
      <c r="X68" s="13">
        <f t="shared" si="17"/>
        <v>1.0002000600200072</v>
      </c>
    </row>
    <row r="69" spans="2:24" x14ac:dyDescent="0.25">
      <c r="B69" s="42">
        <v>27</v>
      </c>
      <c r="C69" s="46">
        <f t="shared" si="0"/>
        <v>2.1224489795918378</v>
      </c>
      <c r="D69" s="47">
        <f t="shared" si="12"/>
        <v>132.57113655901125</v>
      </c>
      <c r="E69" s="47">
        <f t="shared" si="2"/>
        <v>65.493446786668727</v>
      </c>
      <c r="F69" s="47">
        <f t="shared" si="13"/>
        <v>36.32395694128023</v>
      </c>
      <c r="G69" s="47">
        <f t="shared" si="4"/>
        <v>-0.75751062485480114</v>
      </c>
      <c r="H69" s="47">
        <f t="shared" si="5"/>
        <v>1.3257113655901125</v>
      </c>
      <c r="I69" s="47">
        <f t="shared" si="6"/>
        <v>-2.0899204192793537</v>
      </c>
      <c r="J69" s="11">
        <f t="shared" si="14"/>
        <v>-119.74361954291842</v>
      </c>
      <c r="K69" s="113">
        <f t="shared" si="8"/>
        <v>-32.492596899512804</v>
      </c>
      <c r="L69" s="11">
        <f t="shared" si="9"/>
        <v>-56.864951584644643</v>
      </c>
      <c r="Q69" s="42">
        <v>9</v>
      </c>
      <c r="R69" s="46">
        <f t="shared" si="15"/>
        <v>0.20516523452014976</v>
      </c>
      <c r="S69" s="47">
        <f t="shared" si="10"/>
        <v>8.8659930637300004</v>
      </c>
      <c r="T69" s="11">
        <f t="shared" si="11"/>
        <v>933.22608053060651</v>
      </c>
    </row>
    <row r="70" spans="2:24" x14ac:dyDescent="0.25">
      <c r="B70" s="42">
        <v>28</v>
      </c>
      <c r="C70" s="46">
        <f t="shared" si="0"/>
        <v>2.2040816326530623</v>
      </c>
      <c r="D70" s="47">
        <f t="shared" si="12"/>
        <v>159.98587196060632</v>
      </c>
      <c r="E70" s="47">
        <f t="shared" si="2"/>
        <v>44.75835577856742</v>
      </c>
      <c r="F70" s="47">
        <f t="shared" si="13"/>
        <v>33.0174824823224</v>
      </c>
      <c r="G70" s="47">
        <f t="shared" si="4"/>
        <v>-1.5595479226995521</v>
      </c>
      <c r="H70" s="47">
        <f t="shared" si="5"/>
        <v>1.5998587196060632</v>
      </c>
      <c r="I70" s="47">
        <f t="shared" si="6"/>
        <v>-2.3434362054049149</v>
      </c>
      <c r="J70" s="11">
        <f t="shared" si="14"/>
        <v>-134.26900412785432</v>
      </c>
      <c r="K70" s="113">
        <f t="shared" si="8"/>
        <v>-31.242585915582623</v>
      </c>
      <c r="L70" s="11">
        <f t="shared" si="9"/>
        <v>-32.050136307171272</v>
      </c>
      <c r="Q70" s="42">
        <v>10</v>
      </c>
      <c r="R70" s="46">
        <f t="shared" si="15"/>
        <v>0.23081088883516848</v>
      </c>
      <c r="S70" s="47">
        <f t="shared" si="10"/>
        <v>7.402779970753155</v>
      </c>
      <c r="T70" s="11">
        <f t="shared" si="11"/>
        <v>808.10555108644962</v>
      </c>
    </row>
    <row r="71" spans="2:24" x14ac:dyDescent="0.25">
      <c r="B71" s="42">
        <v>29</v>
      </c>
      <c r="C71" s="46">
        <f t="shared" si="0"/>
        <v>2.2857142857142869</v>
      </c>
      <c r="D71" s="47">
        <f t="shared" si="12"/>
        <v>193.06977288832573</v>
      </c>
      <c r="E71" s="47">
        <f t="shared" si="2"/>
        <v>29.924349463718737</v>
      </c>
      <c r="F71" s="47">
        <f t="shared" si="13"/>
        <v>29.520494357917734</v>
      </c>
      <c r="G71" s="47">
        <f t="shared" si="4"/>
        <v>-2.7275937203149678</v>
      </c>
      <c r="H71" s="47">
        <f t="shared" si="5"/>
        <v>1.9306977288832574</v>
      </c>
      <c r="I71" s="47">
        <f t="shared" si="6"/>
        <v>-2.5256248411231219</v>
      </c>
      <c r="J71" s="11">
        <f t="shared" si="14"/>
        <v>-144.70764402975396</v>
      </c>
      <c r="K71" s="113">
        <f t="shared" si="8"/>
        <v>-24.424693226503067</v>
      </c>
      <c r="L71" s="11">
        <f t="shared" si="9"/>
        <v>-17.288755062698396</v>
      </c>
      <c r="Q71" s="42">
        <v>11</v>
      </c>
      <c r="R71" s="46">
        <f t="shared" si="15"/>
        <v>0.25645654315018718</v>
      </c>
      <c r="S71" s="47">
        <f t="shared" si="10"/>
        <v>5.4553490121054899</v>
      </c>
      <c r="T71" s="11">
        <f t="shared" si="11"/>
        <v>630.12661618788707</v>
      </c>
    </row>
    <row r="72" spans="2:24" x14ac:dyDescent="0.25">
      <c r="B72" s="42">
        <v>30</v>
      </c>
      <c r="C72" s="46">
        <f t="shared" si="0"/>
        <v>2.3673469387755115</v>
      </c>
      <c r="D72" s="47">
        <f t="shared" si="12"/>
        <v>232.99518105153797</v>
      </c>
      <c r="E72" s="47">
        <f t="shared" si="2"/>
        <v>19.983284344883895</v>
      </c>
      <c r="F72" s="47">
        <f t="shared" si="13"/>
        <v>26.013337361120435</v>
      </c>
      <c r="G72" s="47">
        <f t="shared" si="4"/>
        <v>-4.4286754393238965</v>
      </c>
      <c r="H72" s="47">
        <f t="shared" si="5"/>
        <v>2.3299518105153796</v>
      </c>
      <c r="I72" s="47">
        <f t="shared" si="6"/>
        <v>-2.6572791817163957</v>
      </c>
      <c r="J72" s="11">
        <f t="shared" si="14"/>
        <v>-152.25088210032644</v>
      </c>
      <c r="K72" s="113">
        <f t="shared" si="8"/>
        <v>-17.685102847090107</v>
      </c>
      <c r="L72" s="11">
        <f t="shared" si="9"/>
        <v>-9.3042350838920207</v>
      </c>
      <c r="Q72" s="42">
        <v>12</v>
      </c>
      <c r="R72" s="46">
        <f t="shared" si="15"/>
        <v>0.28210219746520587</v>
      </c>
      <c r="S72" s="47">
        <f t="shared" si="10"/>
        <v>3.1510821802362128</v>
      </c>
      <c r="T72" s="11">
        <f t="shared" si="11"/>
        <v>410.93092671896886</v>
      </c>
    </row>
    <row r="73" spans="2:24" x14ac:dyDescent="0.25">
      <c r="B73" s="42">
        <v>31</v>
      </c>
      <c r="C73" s="46">
        <f t="shared" si="0"/>
        <v>2.4489795918367361</v>
      </c>
      <c r="D73" s="47">
        <f t="shared" si="12"/>
        <v>281.17686979742416</v>
      </c>
      <c r="E73" s="47">
        <f t="shared" si="2"/>
        <v>13.411107710976159</v>
      </c>
      <c r="F73" s="47">
        <f t="shared" si="13"/>
        <v>22.549293011016278</v>
      </c>
      <c r="G73" s="47">
        <f t="shared" si="4"/>
        <v>-6.9060432109077627</v>
      </c>
      <c r="H73" s="47">
        <f t="shared" si="5"/>
        <v>2.8117686979742418</v>
      </c>
      <c r="I73" s="47">
        <f t="shared" si="6"/>
        <v>-2.7549410486797683</v>
      </c>
      <c r="J73" s="11">
        <f t="shared" si="14"/>
        <v>-157.84649489669579</v>
      </c>
      <c r="K73" s="113">
        <f t="shared" si="8"/>
        <v>-12.421058079237415</v>
      </c>
      <c r="L73" s="11">
        <f t="shared" si="9"/>
        <v>-5.0571856034374703</v>
      </c>
      <c r="Q73" s="42">
        <v>13</v>
      </c>
      <c r="R73" s="46">
        <f t="shared" si="15"/>
        <v>0.30774785178022457</v>
      </c>
      <c r="S73" s="47">
        <f t="shared" si="10"/>
        <v>0.64070219980713672</v>
      </c>
      <c r="T73" s="11">
        <f t="shared" si="11"/>
        <v>164.85613277036586</v>
      </c>
    </row>
    <row r="74" spans="2:24" x14ac:dyDescent="0.25">
      <c r="B74" s="42">
        <v>32</v>
      </c>
      <c r="C74" s="46">
        <f t="shared" si="0"/>
        <v>2.5306122448979607</v>
      </c>
      <c r="D74" s="47">
        <f t="shared" si="12"/>
        <v>339.32217718953405</v>
      </c>
      <c r="E74" s="47">
        <f t="shared" si="2"/>
        <v>9.0514536013601017</v>
      </c>
      <c r="F74" s="47">
        <f t="shared" si="13"/>
        <v>19.134366590416462</v>
      </c>
      <c r="G74" s="47">
        <f t="shared" si="4"/>
        <v>-10.513953993264554</v>
      </c>
      <c r="H74" s="47">
        <f t="shared" si="5"/>
        <v>3.3932217718953406</v>
      </c>
      <c r="I74" s="47">
        <f t="shared" si="6"/>
        <v>-2.8294106600615407</v>
      </c>
      <c r="J74" s="11">
        <f t="shared" si="14"/>
        <v>-162.11328933085076</v>
      </c>
      <c r="K74" s="113">
        <f t="shared" si="8"/>
        <v>-8.613957632195083</v>
      </c>
      <c r="L74" s="11">
        <f t="shared" si="9"/>
        <v>-2.7800262963365743</v>
      </c>
      <c r="Q74" s="42">
        <v>14</v>
      </c>
      <c r="R74" s="46">
        <f t="shared" si="15"/>
        <v>0.33339350609524326</v>
      </c>
      <c r="S74" s="47">
        <f t="shared" si="10"/>
        <v>-1.9115862870137144</v>
      </c>
      <c r="T74" s="11">
        <f t="shared" si="11"/>
        <v>-92.001945980458657</v>
      </c>
    </row>
    <row r="75" spans="2:24" x14ac:dyDescent="0.25">
      <c r="B75" s="42">
        <v>33</v>
      </c>
      <c r="C75" s="46">
        <f t="shared" si="0"/>
        <v>2.6122448979591852</v>
      </c>
      <c r="D75" s="47">
        <f t="shared" si="12"/>
        <v>409.49150623804417</v>
      </c>
      <c r="E75" s="47">
        <f t="shared" si="2"/>
        <v>6.1382214591630202</v>
      </c>
      <c r="F75" s="47">
        <f t="shared" si="13"/>
        <v>15.760851063334933</v>
      </c>
      <c r="G75" s="47">
        <f t="shared" si="4"/>
        <v>-15.768329368110216</v>
      </c>
      <c r="H75" s="47">
        <f t="shared" si="5"/>
        <v>4.0949150623804416</v>
      </c>
      <c r="I75" s="47">
        <f t="shared" si="6"/>
        <v>-2.887512753480947</v>
      </c>
      <c r="J75" s="11">
        <f t="shared" si="14"/>
        <v>-165.44229406465757</v>
      </c>
      <c r="K75" s="113">
        <f t="shared" si="8"/>
        <v>-5.9411537181900078</v>
      </c>
      <c r="L75" s="11">
        <f t="shared" si="9"/>
        <v>-1.542872379222094</v>
      </c>
      <c r="Q75" s="42">
        <v>15</v>
      </c>
      <c r="R75" s="46">
        <f t="shared" si="15"/>
        <v>0.35903916041026196</v>
      </c>
      <c r="S75" s="47">
        <f t="shared" si="10"/>
        <v>-4.3388373911755718</v>
      </c>
      <c r="T75" s="11">
        <f t="shared" si="11"/>
        <v>-342.84215224334974</v>
      </c>
    </row>
    <row r="76" spans="2:24" x14ac:dyDescent="0.25">
      <c r="B76" s="42">
        <v>34</v>
      </c>
      <c r="C76" s="46">
        <f t="shared" si="0"/>
        <v>2.6938775510204098</v>
      </c>
      <c r="D76" s="47">
        <f t="shared" si="12"/>
        <v>494.1713361323857</v>
      </c>
      <c r="E76" s="47">
        <f t="shared" si="2"/>
        <v>4.1777721038064453</v>
      </c>
      <c r="F76" s="47">
        <f t="shared" si="13"/>
        <v>12.418894913178946</v>
      </c>
      <c r="G76" s="47">
        <f t="shared" si="4"/>
        <v>-23.420530945486735</v>
      </c>
      <c r="H76" s="47">
        <f t="shared" si="5"/>
        <v>4.9417133613238571</v>
      </c>
      <c r="I76" s="47">
        <f t="shared" si="6"/>
        <v>-2.933643652703954</v>
      </c>
      <c r="J76" s="11">
        <f t="shared" si="14"/>
        <v>-168.08539989527921</v>
      </c>
      <c r="K76" s="113">
        <f t="shared" si="8"/>
        <v>-4.0877678878204637</v>
      </c>
      <c r="L76" s="11">
        <f t="shared" si="9"/>
        <v>-0.8625157660281717</v>
      </c>
      <c r="Q76" s="42">
        <v>16</v>
      </c>
      <c r="R76" s="46">
        <f t="shared" si="15"/>
        <v>0.38468481472528065</v>
      </c>
      <c r="S76" s="47">
        <f t="shared" si="10"/>
        <v>-6.4822839530778715</v>
      </c>
      <c r="T76" s="11">
        <f t="shared" si="11"/>
        <v>-571.25695941601475</v>
      </c>
    </row>
    <row r="77" spans="2:24" x14ac:dyDescent="0.25">
      <c r="B77" s="42">
        <v>35</v>
      </c>
      <c r="C77" s="46">
        <f t="shared" si="0"/>
        <v>2.7755102040816344</v>
      </c>
      <c r="D77" s="47">
        <f t="shared" si="12"/>
        <v>596.3623316594668</v>
      </c>
      <c r="E77" s="47">
        <f t="shared" si="2"/>
        <v>2.8509931901709336</v>
      </c>
      <c r="F77" s="47">
        <f t="shared" si="13"/>
        <v>9.0999235992602738</v>
      </c>
      <c r="G77" s="47">
        <f t="shared" si="4"/>
        <v>-34.56480306223159</v>
      </c>
      <c r="H77" s="47">
        <f t="shared" si="5"/>
        <v>5.9636233165946679</v>
      </c>
      <c r="I77" s="47">
        <f t="shared" si="6"/>
        <v>-2.9707401575050945</v>
      </c>
      <c r="J77" s="11">
        <f t="shared" si="14"/>
        <v>-170.21087305507135</v>
      </c>
      <c r="K77" s="113">
        <f t="shared" si="8"/>
        <v>-2.8094832467779276</v>
      </c>
      <c r="L77" s="11">
        <f t="shared" si="9"/>
        <v>-0.48473297440466351</v>
      </c>
      <c r="Q77" s="42">
        <v>17</v>
      </c>
      <c r="R77" s="46">
        <f t="shared" si="15"/>
        <v>0.41033046904029935</v>
      </c>
      <c r="S77" s="47">
        <f t="shared" si="10"/>
        <v>-8.2017225459695471</v>
      </c>
      <c r="T77" s="11">
        <f t="shared" si="11"/>
        <v>-762.30569239346391</v>
      </c>
    </row>
    <row r="78" spans="2:24" x14ac:dyDescent="0.25">
      <c r="B78" s="42">
        <v>36</v>
      </c>
      <c r="C78" s="46">
        <f t="shared" si="0"/>
        <v>2.857142857142859</v>
      </c>
      <c r="D78" s="47">
        <f t="shared" si="12"/>
        <v>719.68567300115546</v>
      </c>
      <c r="E78" s="47">
        <f t="shared" si="2"/>
        <v>1.9492395806843132</v>
      </c>
      <c r="F78" s="47">
        <f t="shared" si="13"/>
        <v>5.7973044290903495</v>
      </c>
      <c r="G78" s="47">
        <f t="shared" si="4"/>
        <v>-50.794746792312608</v>
      </c>
      <c r="H78" s="47">
        <f t="shared" si="5"/>
        <v>7.1968567300115547</v>
      </c>
      <c r="I78" s="47">
        <f t="shared" si="6"/>
        <v>-3.0008444285204994</v>
      </c>
      <c r="J78" s="11">
        <f t="shared" si="14"/>
        <v>-171.93572072957204</v>
      </c>
      <c r="K78" s="113">
        <f t="shared" si="8"/>
        <v>-1.9299641535347234</v>
      </c>
      <c r="L78" s="11">
        <f t="shared" si="9"/>
        <v>-0.27344708624769681</v>
      </c>
      <c r="Q78" s="42">
        <v>18</v>
      </c>
      <c r="R78" s="46">
        <f t="shared" si="15"/>
        <v>0.43597612335531805</v>
      </c>
      <c r="S78" s="47">
        <f t="shared" si="10"/>
        <v>-9.3846842204975953</v>
      </c>
      <c r="T78" s="11">
        <f t="shared" si="11"/>
        <v>-903.49180121920165</v>
      </c>
    </row>
    <row r="79" spans="2:24" x14ac:dyDescent="0.25">
      <c r="B79" s="42">
        <v>37</v>
      </c>
      <c r="C79" s="46">
        <f t="shared" si="0"/>
        <v>2.9387755102040836</v>
      </c>
      <c r="D79" s="47">
        <f t="shared" si="12"/>
        <v>868.51137375135727</v>
      </c>
      <c r="E79" s="47">
        <f t="shared" si="2"/>
        <v>1.3344684311619208</v>
      </c>
      <c r="F79" s="47">
        <f t="shared" si="13"/>
        <v>2.5061660872461928</v>
      </c>
      <c r="G79" s="47">
        <f t="shared" si="4"/>
        <v>-74.431200633546979</v>
      </c>
      <c r="H79" s="47">
        <f t="shared" si="5"/>
        <v>8.6851137375135732</v>
      </c>
      <c r="I79" s="47">
        <f t="shared" si="6"/>
        <v>-3.0254314936185294</v>
      </c>
      <c r="J79" s="11">
        <f t="shared" si="14"/>
        <v>-173.34445579030259</v>
      </c>
      <c r="K79" s="113">
        <f t="shared" si="8"/>
        <v>-1.32547528211551</v>
      </c>
      <c r="L79" s="11">
        <f t="shared" si="9"/>
        <v>-0.15466502600318865</v>
      </c>
      <c r="Q79" s="42">
        <v>19</v>
      </c>
      <c r="R79" s="46">
        <f t="shared" si="15"/>
        <v>0.46162177767033674</v>
      </c>
      <c r="S79" s="47">
        <f t="shared" si="10"/>
        <v>-9.9537911294919805</v>
      </c>
      <c r="T79" s="11">
        <f t="shared" si="11"/>
        <v>-985.58026384096343</v>
      </c>
    </row>
    <row r="80" spans="2:24" x14ac:dyDescent="0.25">
      <c r="B80" s="42">
        <v>38</v>
      </c>
      <c r="C80" s="46">
        <f t="shared" si="0"/>
        <v>3.0204081632653081</v>
      </c>
      <c r="D80" s="47">
        <f t="shared" si="12"/>
        <v>1048.1131341546909</v>
      </c>
      <c r="E80" s="47">
        <f t="shared" si="2"/>
        <v>0.91443166074531756</v>
      </c>
      <c r="F80" s="47">
        <f t="shared" si="13"/>
        <v>-0.77697491190238455</v>
      </c>
      <c r="G80" s="47">
        <f t="shared" si="4"/>
        <v>-108.85411419875692</v>
      </c>
      <c r="H80" s="47">
        <f t="shared" si="5"/>
        <v>10.481131341546909</v>
      </c>
      <c r="I80" s="47">
        <f t="shared" si="6"/>
        <v>-3.0456025275909964</v>
      </c>
      <c r="J80" s="11">
        <f t="shared" si="14"/>
        <v>-174.50017090533996</v>
      </c>
      <c r="K80" s="113">
        <f t="shared" si="8"/>
        <v>-0.91022206019945096</v>
      </c>
      <c r="L80" s="11">
        <f t="shared" si="9"/>
        <v>-8.7641675587056572E-2</v>
      </c>
      <c r="Q80" s="42">
        <v>20</v>
      </c>
      <c r="R80" s="46">
        <f t="shared" si="15"/>
        <v>0.48726743198535544</v>
      </c>
      <c r="S80" s="47">
        <f t="shared" si="10"/>
        <v>-9.8718178341445046</v>
      </c>
      <c r="T80" s="11">
        <f t="shared" si="11"/>
        <v>-1003.2016514328288</v>
      </c>
    </row>
    <row r="81" spans="2:20" x14ac:dyDescent="0.25">
      <c r="B81" s="42">
        <v>39</v>
      </c>
      <c r="C81" s="46">
        <f t="shared" si="0"/>
        <v>3.1020408163265327</v>
      </c>
      <c r="D81" s="47">
        <f t="shared" si="12"/>
        <v>1264.8552168553031</v>
      </c>
      <c r="E81" s="47">
        <f t="shared" si="2"/>
        <v>0.62700554287351817</v>
      </c>
      <c r="F81" s="47">
        <f t="shared" si="13"/>
        <v>-4.0545723977798493</v>
      </c>
      <c r="G81" s="47">
        <f t="shared" si="4"/>
        <v>-158.98587196060757</v>
      </c>
      <c r="H81" s="47">
        <f t="shared" si="5"/>
        <v>12.648552168553032</v>
      </c>
      <c r="I81" s="47">
        <f t="shared" si="6"/>
        <v>-3.062202158939602</v>
      </c>
      <c r="J81" s="11">
        <f t="shared" si="14"/>
        <v>-175.4512597230881</v>
      </c>
      <c r="K81" s="113">
        <f t="shared" si="8"/>
        <v>-0.62503061936064908</v>
      </c>
      <c r="L81" s="11">
        <f t="shared" si="9"/>
        <v>-4.9726005829530628E-2</v>
      </c>
      <c r="Q81" s="42">
        <v>21</v>
      </c>
      <c r="R81" s="46">
        <f t="shared" si="15"/>
        <v>0.51291308630037413</v>
      </c>
      <c r="S81" s="47">
        <f t="shared" si="10"/>
        <v>-9.1441262301581361</v>
      </c>
      <c r="T81" s="11">
        <f t="shared" si="11"/>
        <v>-955.20334420552922</v>
      </c>
    </row>
    <row r="82" spans="2:20" x14ac:dyDescent="0.25">
      <c r="B82" s="42">
        <v>40</v>
      </c>
      <c r="C82" s="46">
        <f t="shared" si="0"/>
        <v>3.1836734693877573</v>
      </c>
      <c r="D82" s="47">
        <f t="shared" si="12"/>
        <v>1526.4179671752427</v>
      </c>
      <c r="E82" s="47">
        <f t="shared" si="2"/>
        <v>0.4301134578547488</v>
      </c>
      <c r="F82" s="47">
        <f t="shared" si="13"/>
        <v>-7.328339371163338</v>
      </c>
      <c r="G82" s="47">
        <f t="shared" si="4"/>
        <v>-231.99518105154002</v>
      </c>
      <c r="H82" s="47">
        <f t="shared" si="5"/>
        <v>15.264179671752427</v>
      </c>
      <c r="I82" s="47">
        <f t="shared" si="6"/>
        <v>-3.0758921060436508</v>
      </c>
      <c r="J82" s="11">
        <f t="shared" si="14"/>
        <v>-176.23563591390746</v>
      </c>
      <c r="K82" s="113">
        <f t="shared" si="8"/>
        <v>-0.42918548603807172</v>
      </c>
      <c r="L82" s="11">
        <f t="shared" si="9"/>
        <v>-2.8238364011268464E-2</v>
      </c>
      <c r="Q82" s="42">
        <v>22</v>
      </c>
      <c r="R82" s="46">
        <f t="shared" si="15"/>
        <v>0.53855874061539288</v>
      </c>
      <c r="S82" s="47">
        <f t="shared" si="10"/>
        <v>-7.8183148246803107</v>
      </c>
      <c r="T82" s="11">
        <f t="shared" si="11"/>
        <v>-844.72492458259114</v>
      </c>
    </row>
    <row r="83" spans="2:20" x14ac:dyDescent="0.25">
      <c r="B83" s="42">
        <v>41</v>
      </c>
      <c r="C83" s="46">
        <f t="shared" si="0"/>
        <v>3.2653061224489819</v>
      </c>
      <c r="D83" s="47">
        <f t="shared" si="12"/>
        <v>1842.0699693267266</v>
      </c>
      <c r="E83" s="47">
        <f t="shared" si="2"/>
        <v>0.29513910269202809</v>
      </c>
      <c r="F83" s="47">
        <f t="shared" si="13"/>
        <v>-10.599464948709327</v>
      </c>
      <c r="G83" s="47">
        <f t="shared" si="4"/>
        <v>-338.32217718953672</v>
      </c>
      <c r="H83" s="47">
        <f t="shared" si="5"/>
        <v>18.420699693267267</v>
      </c>
      <c r="I83" s="47">
        <f t="shared" si="6"/>
        <v>-3.087199147850662</v>
      </c>
      <c r="J83" s="11">
        <f t="shared" si="14"/>
        <v>-176.88348168822714</v>
      </c>
      <c r="K83" s="113">
        <f t="shared" si="8"/>
        <v>-0.29470260316420072</v>
      </c>
      <c r="L83" s="11">
        <f t="shared" si="9"/>
        <v>-1.6045735448996595E-2</v>
      </c>
      <c r="Q83" s="42">
        <v>23</v>
      </c>
      <c r="R83" s="46">
        <f t="shared" si="15"/>
        <v>0.56420439493041163</v>
      </c>
      <c r="S83" s="47">
        <f t="shared" si="10"/>
        <v>-5.9811053049121767</v>
      </c>
      <c r="T83" s="11">
        <f t="shared" si="11"/>
        <v>-678.99281625401511</v>
      </c>
    </row>
    <row r="84" spans="2:20" x14ac:dyDescent="0.25">
      <c r="B84" s="42">
        <v>42</v>
      </c>
      <c r="C84" s="46">
        <f t="shared" si="0"/>
        <v>3.3469387755102065</v>
      </c>
      <c r="D84" s="47">
        <f t="shared" si="12"/>
        <v>2222.9964825262086</v>
      </c>
      <c r="E84" s="47">
        <f t="shared" si="2"/>
        <v>0.20256360621069094</v>
      </c>
      <c r="F84" s="47">
        <f t="shared" si="13"/>
        <v>-13.868771598236755</v>
      </c>
      <c r="G84" s="47">
        <f t="shared" si="4"/>
        <v>-493.17133613238963</v>
      </c>
      <c r="H84" s="47">
        <f t="shared" si="5"/>
        <v>22.229964825262087</v>
      </c>
      <c r="I84" s="47">
        <f t="shared" si="6"/>
        <v>-3.0965476035669175</v>
      </c>
      <c r="J84" s="11">
        <f t="shared" si="14"/>
        <v>-177.41910874573355</v>
      </c>
      <c r="K84" s="113">
        <f t="shared" si="8"/>
        <v>-0.20235813445291428</v>
      </c>
      <c r="L84" s="11">
        <f t="shared" si="9"/>
        <v>-9.1214024040244743E-3</v>
      </c>
      <c r="Q84" s="42">
        <v>24</v>
      </c>
      <c r="R84" s="46">
        <f t="shared" si="15"/>
        <v>0.58985004924543039</v>
      </c>
      <c r="S84" s="47">
        <f t="shared" si="10"/>
        <v>-3.7526700487937625</v>
      </c>
      <c r="T84" s="11">
        <f t="shared" si="11"/>
        <v>-468.84760182323379</v>
      </c>
    </row>
    <row r="85" spans="2:20" x14ac:dyDescent="0.25">
      <c r="B85" s="42">
        <v>43</v>
      </c>
      <c r="C85" s="46">
        <f t="shared" si="0"/>
        <v>3.428571428571431</v>
      </c>
      <c r="D85" s="47">
        <f t="shared" si="12"/>
        <v>2682.6957952797443</v>
      </c>
      <c r="E85" s="47">
        <f t="shared" si="2"/>
        <v>0.13904605062682671</v>
      </c>
      <c r="F85" s="47">
        <f t="shared" si="13"/>
        <v>-17.136826840826998</v>
      </c>
      <c r="G85" s="47">
        <f t="shared" si="4"/>
        <v>-718.68567300116194</v>
      </c>
      <c r="H85" s="47">
        <f t="shared" si="5"/>
        <v>26.826957952797443</v>
      </c>
      <c r="I85" s="47">
        <f t="shared" si="6"/>
        <v>-3.1042821721760552</v>
      </c>
      <c r="J85" s="11">
        <f t="shared" si="14"/>
        <v>-177.86226688339153</v>
      </c>
      <c r="K85" s="113">
        <f t="shared" si="8"/>
        <v>-0.13894928079497368</v>
      </c>
      <c r="L85" s="11">
        <f t="shared" si="9"/>
        <v>-5.186671522046854E-3</v>
      </c>
      <c r="Q85" s="42">
        <v>25</v>
      </c>
      <c r="R85" s="46">
        <f t="shared" si="15"/>
        <v>0.61549570356044914</v>
      </c>
      <c r="S85" s="47">
        <f t="shared" si="10"/>
        <v>-1.2787716168450749</v>
      </c>
      <c r="T85" s="11">
        <f t="shared" si="11"/>
        <v>-228.03493732954865</v>
      </c>
    </row>
    <row r="86" spans="2:20" x14ac:dyDescent="0.25">
      <c r="B86" s="42">
        <v>44</v>
      </c>
      <c r="C86" s="46">
        <f t="shared" si="0"/>
        <v>3.5102040816326556</v>
      </c>
      <c r="D86" s="47">
        <f t="shared" si="12"/>
        <v>3237.4575428176649</v>
      </c>
      <c r="E86" s="47">
        <f t="shared" si="2"/>
        <v>9.5455051651229597E-2</v>
      </c>
      <c r="F86" s="47">
        <f t="shared" si="13"/>
        <v>-20.404021660503233</v>
      </c>
      <c r="G86" s="47">
        <f t="shared" si="4"/>
        <v>-1047.1131341546993</v>
      </c>
      <c r="H86" s="47">
        <f t="shared" si="5"/>
        <v>32.374575428176648</v>
      </c>
      <c r="I86" s="47">
        <f t="shared" si="6"/>
        <v>-3.1106845649939698</v>
      </c>
      <c r="J86" s="11">
        <f t="shared" si="14"/>
        <v>-178.22909697064287</v>
      </c>
      <c r="K86" s="113">
        <f t="shared" si="8"/>
        <v>-9.5409460700996609E-2</v>
      </c>
      <c r="L86" s="11">
        <f t="shared" si="9"/>
        <v>-2.949863468687738E-3</v>
      </c>
      <c r="Q86" s="42">
        <v>26</v>
      </c>
      <c r="R86" s="46">
        <f t="shared" si="15"/>
        <v>0.64114135787546789</v>
      </c>
      <c r="S86" s="47">
        <f t="shared" si="10"/>
        <v>1.2787716168450525</v>
      </c>
      <c r="T86" s="11">
        <f t="shared" si="11"/>
        <v>27.693554878635023</v>
      </c>
    </row>
    <row r="87" spans="2:20" x14ac:dyDescent="0.25">
      <c r="B87" s="42">
        <v>45</v>
      </c>
      <c r="C87" s="46">
        <f t="shared" si="0"/>
        <v>3.5918367346938802</v>
      </c>
      <c r="D87" s="47">
        <f t="shared" si="12"/>
        <v>3906.9399370546412</v>
      </c>
      <c r="E87" s="47">
        <f t="shared" si="2"/>
        <v>6.5534311834481496E-2</v>
      </c>
      <c r="F87" s="47">
        <f t="shared" si="13"/>
        <v>-23.670625133379374</v>
      </c>
      <c r="G87" s="47">
        <f t="shared" si="4"/>
        <v>-1525.4179671752524</v>
      </c>
      <c r="H87" s="47">
        <f t="shared" si="5"/>
        <v>39.069399370546414</v>
      </c>
      <c r="I87" s="47">
        <f t="shared" si="6"/>
        <v>-3.1159859932804999</v>
      </c>
      <c r="J87" s="11">
        <f t="shared" si="14"/>
        <v>-178.53284643685231</v>
      </c>
      <c r="K87" s="113">
        <f t="shared" si="8"/>
        <v>-6.5512827549846608E-2</v>
      </c>
      <c r="L87" s="11">
        <f t="shared" si="9"/>
        <v>-1.6779314774811689E-3</v>
      </c>
      <c r="Q87" s="42">
        <v>27</v>
      </c>
      <c r="R87" s="46">
        <f t="shared" si="15"/>
        <v>0.66678701219048664</v>
      </c>
      <c r="S87" s="47">
        <f t="shared" si="10"/>
        <v>3.7526700487937332</v>
      </c>
      <c r="T87" s="11">
        <f t="shared" si="11"/>
        <v>281.61060407633403</v>
      </c>
    </row>
    <row r="88" spans="2:20" x14ac:dyDescent="0.25">
      <c r="B88" s="42">
        <v>46</v>
      </c>
      <c r="C88" s="46">
        <f t="shared" si="0"/>
        <v>3.6734693877551048</v>
      </c>
      <c r="D88" s="47">
        <f t="shared" si="12"/>
        <v>4714.8663634574295</v>
      </c>
      <c r="E88" s="47">
        <f t="shared" si="2"/>
        <v>4.4994443498267624E-2</v>
      </c>
      <c r="F88" s="47">
        <f t="shared" si="13"/>
        <v>-26.936822305399378</v>
      </c>
      <c r="G88" s="47">
        <f t="shared" si="4"/>
        <v>-2221.9964825262286</v>
      </c>
      <c r="H88" s="47">
        <f t="shared" si="5"/>
        <v>47.148663634574298</v>
      </c>
      <c r="I88" s="47">
        <f t="shared" si="6"/>
        <v>-3.1203767832159794</v>
      </c>
      <c r="J88" s="11">
        <f t="shared" si="14"/>
        <v>-178.78442016888383</v>
      </c>
      <c r="K88" s="113">
        <f t="shared" si="8"/>
        <v>-4.4984317582617082E-2</v>
      </c>
      <c r="L88" s="11">
        <f t="shared" si="9"/>
        <v>-9.5452466968909487E-4</v>
      </c>
      <c r="Q88" s="42">
        <v>28</v>
      </c>
      <c r="R88" s="46">
        <f t="shared" si="15"/>
        <v>0.69243266650550539</v>
      </c>
      <c r="S88" s="47">
        <f t="shared" si="10"/>
        <v>5.981105304912151</v>
      </c>
      <c r="T88" s="11">
        <f t="shared" si="11"/>
        <v>517.10742652207671</v>
      </c>
    </row>
    <row r="89" spans="2:20" x14ac:dyDescent="0.25">
      <c r="B89" s="42">
        <v>47</v>
      </c>
      <c r="C89" s="46">
        <f t="shared" si="0"/>
        <v>3.7551020408163294</v>
      </c>
      <c r="D89" s="47">
        <f t="shared" si="12"/>
        <v>5689.8660290183379</v>
      </c>
      <c r="E89" s="47">
        <f t="shared" si="2"/>
        <v>3.0893206073376304E-2</v>
      </c>
      <c r="F89" s="47">
        <f t="shared" si="13"/>
        <v>-30.202740372188313</v>
      </c>
      <c r="G89" s="47">
        <f t="shared" si="4"/>
        <v>-3236.4575428176913</v>
      </c>
      <c r="H89" s="47">
        <f t="shared" si="5"/>
        <v>56.898660290183379</v>
      </c>
      <c r="I89" s="47">
        <f t="shared" si="6"/>
        <v>-3.1240139278889814</v>
      </c>
      <c r="J89" s="11">
        <f t="shared" si="14"/>
        <v>-178.99281320812534</v>
      </c>
      <c r="K89" s="113">
        <f t="shared" si="8"/>
        <v>-3.0888433016812364E-2</v>
      </c>
      <c r="L89" s="11">
        <f t="shared" si="9"/>
        <v>-5.4303522721005175E-4</v>
      </c>
      <c r="Q89" s="42">
        <v>29</v>
      </c>
      <c r="R89" s="46">
        <f t="shared" si="15"/>
        <v>0.71807832082052414</v>
      </c>
      <c r="S89" s="47">
        <f t="shared" si="10"/>
        <v>7.8183148246802956</v>
      </c>
      <c r="T89" s="11">
        <f t="shared" si="11"/>
        <v>718.78011055194088</v>
      </c>
    </row>
    <row r="90" spans="2:20" x14ac:dyDescent="0.25">
      <c r="B90" s="42">
        <v>48</v>
      </c>
      <c r="C90" s="46">
        <f t="shared" si="0"/>
        <v>3.8367346938775539</v>
      </c>
      <c r="D90" s="47">
        <f t="shared" si="12"/>
        <v>6866.488450043048</v>
      </c>
      <c r="E90" s="47">
        <f t="shared" si="2"/>
        <v>2.1211757976185627E-2</v>
      </c>
      <c r="F90" s="47">
        <f t="shared" si="13"/>
        <v>-33.468466735544993</v>
      </c>
      <c r="G90" s="47">
        <f t="shared" si="4"/>
        <v>-4713.8663634574577</v>
      </c>
      <c r="H90" s="47">
        <f t="shared" si="5"/>
        <v>68.664884500430489</v>
      </c>
      <c r="I90" s="47">
        <f t="shared" si="6"/>
        <v>-3.1270271094547235</v>
      </c>
      <c r="J90" s="11">
        <f t="shared" si="14"/>
        <v>-179.16545579474896</v>
      </c>
      <c r="K90" s="113">
        <f t="shared" si="8"/>
        <v>-2.1209507924903781E-2</v>
      </c>
      <c r="L90" s="11">
        <f t="shared" si="9"/>
        <v>-3.0894987250048005E-4</v>
      </c>
      <c r="Q90" s="42">
        <v>30</v>
      </c>
      <c r="R90" s="46">
        <f t="shared" si="15"/>
        <v>0.74372397513554289</v>
      </c>
      <c r="S90" s="47">
        <f t="shared" si="10"/>
        <v>9.1441262301581272</v>
      </c>
      <c r="T90" s="11">
        <f t="shared" si="11"/>
        <v>873.43719066095923</v>
      </c>
    </row>
    <row r="91" spans="2:20" x14ac:dyDescent="0.25">
      <c r="B91" s="42">
        <v>49</v>
      </c>
      <c r="C91" s="46">
        <f t="shared" si="0"/>
        <v>3.9183673469387785</v>
      </c>
      <c r="D91" s="47">
        <f t="shared" si="12"/>
        <v>8286.4277285469125</v>
      </c>
      <c r="E91" s="47">
        <f t="shared" si="2"/>
        <v>1.4564545211825928E-2</v>
      </c>
      <c r="F91" s="47">
        <f t="shared" si="13"/>
        <v>-36.734061439508466</v>
      </c>
      <c r="G91" s="47">
        <f t="shared" si="4"/>
        <v>-6865.4884500431153</v>
      </c>
      <c r="H91" s="47">
        <f t="shared" si="5"/>
        <v>82.864277285469129</v>
      </c>
      <c r="I91" s="47">
        <f t="shared" si="6"/>
        <v>-3.1295235554584613</v>
      </c>
      <c r="J91" s="11">
        <f t="shared" si="14"/>
        <v>-179.30849161454546</v>
      </c>
      <c r="K91" s="113">
        <f t="shared" si="8"/>
        <v>-1.4563484466082853E-2</v>
      </c>
      <c r="L91" s="11">
        <f t="shared" si="9"/>
        <v>-1.7577665796415884E-4</v>
      </c>
      <c r="Q91" s="42">
        <v>31</v>
      </c>
      <c r="R91" s="46">
        <f t="shared" si="15"/>
        <v>0.76936962945056164</v>
      </c>
      <c r="S91" s="47">
        <f t="shared" si="10"/>
        <v>9.8718178341445011</v>
      </c>
      <c r="T91" s="11">
        <f t="shared" si="11"/>
        <v>970.96250487523298</v>
      </c>
    </row>
    <row r="92" spans="2:20" ht="15.75" thickBot="1" x14ac:dyDescent="0.3">
      <c r="B92" s="49">
        <v>50</v>
      </c>
      <c r="C92" s="54">
        <f>LOG(N6)</f>
        <v>4</v>
      </c>
      <c r="D92" s="50">
        <f>EXP(C92*LN(10))</f>
        <v>10000.000000000009</v>
      </c>
      <c r="E92" s="50">
        <f t="shared" si="2"/>
        <v>1.0000499987495606E-2</v>
      </c>
      <c r="F92" s="50">
        <f>20*LOG(E92)</f>
        <v>-39.999565727235733</v>
      </c>
      <c r="G92" s="50">
        <f t="shared" si="4"/>
        <v>-9999.0000000000182</v>
      </c>
      <c r="H92" s="50">
        <f t="shared" si="5"/>
        <v>100.0000000000001</v>
      </c>
      <c r="I92" s="50">
        <f t="shared" si="6"/>
        <v>-3.1315919869031168</v>
      </c>
      <c r="J92" s="13">
        <f>I92*180/PI()</f>
        <v>-179.42700400653638</v>
      </c>
      <c r="K92" s="114">
        <f t="shared" si="8"/>
        <v>-9.9999998999899826E-3</v>
      </c>
      <c r="L92" s="13">
        <f t="shared" si="9"/>
        <v>-1.0000999999989972E-4</v>
      </c>
      <c r="Q92" s="42">
        <v>32</v>
      </c>
      <c r="R92" s="46">
        <f t="shared" si="15"/>
        <v>0.79501528376558039</v>
      </c>
      <c r="S92" s="47">
        <f t="shared" si="10"/>
        <v>9.9537911294919823</v>
      </c>
      <c r="T92" s="11">
        <f t="shared" si="11"/>
        <v>1004.9768956776836</v>
      </c>
    </row>
    <row r="93" spans="2:20" x14ac:dyDescent="0.25">
      <c r="Q93" s="42">
        <v>33</v>
      </c>
      <c r="R93" s="46">
        <f t="shared" si="15"/>
        <v>0.82066093808059914</v>
      </c>
      <c r="S93" s="47">
        <f t="shared" ref="S93:S110" si="18">$C$27*SIN($C$28*R93)</f>
        <v>9.3846842204976006</v>
      </c>
      <c r="T93" s="11">
        <f t="shared" ref="T93:T110" si="19">$L$33*SIN($C$28*R93+$L$35)</f>
        <v>973.25547244863492</v>
      </c>
    </row>
    <row r="94" spans="2:20" x14ac:dyDescent="0.25">
      <c r="Q94" s="42">
        <v>34</v>
      </c>
      <c r="R94" s="46">
        <f t="shared" si="15"/>
        <v>0.8463065923956179</v>
      </c>
      <c r="S94" s="47">
        <f t="shared" si="18"/>
        <v>8.2017225459695489</v>
      </c>
      <c r="T94" s="11">
        <f t="shared" si="19"/>
        <v>877.8731421706924</v>
      </c>
    </row>
    <row r="95" spans="2:20" x14ac:dyDescent="0.25">
      <c r="Q95" s="42">
        <v>35</v>
      </c>
      <c r="R95" s="46">
        <f t="shared" si="15"/>
        <v>0.87195224671063665</v>
      </c>
      <c r="S95" s="47">
        <f t="shared" si="18"/>
        <v>6.4822839530778786</v>
      </c>
      <c r="T95" s="11">
        <f t="shared" si="19"/>
        <v>725.06888919465064</v>
      </c>
    </row>
    <row r="96" spans="2:20" x14ac:dyDescent="0.25">
      <c r="Q96" s="42">
        <v>36</v>
      </c>
      <c r="R96" s="46">
        <f t="shared" si="15"/>
        <v>0.8975979010256554</v>
      </c>
      <c r="S96" s="47">
        <f t="shared" si="18"/>
        <v>4.3388373911755682</v>
      </c>
      <c r="T96" s="11">
        <f t="shared" si="19"/>
        <v>524.83768156410792</v>
      </c>
    </row>
    <row r="97" spans="17:20" x14ac:dyDescent="0.25">
      <c r="Q97" s="42">
        <v>37</v>
      </c>
      <c r="R97" s="46">
        <f t="shared" si="15"/>
        <v>0.92324355534067415</v>
      </c>
      <c r="S97" s="47">
        <f t="shared" si="18"/>
        <v>1.9115862870137015</v>
      </c>
      <c r="T97" s="11">
        <f t="shared" si="19"/>
        <v>290.27669741790021</v>
      </c>
    </row>
    <row r="98" spans="17:20" x14ac:dyDescent="0.25">
      <c r="Q98" s="42">
        <v>38</v>
      </c>
      <c r="R98" s="46">
        <f t="shared" si="15"/>
        <v>0.9488892096556929</v>
      </c>
      <c r="S98" s="47">
        <f t="shared" si="18"/>
        <v>-0.64070219980715837</v>
      </c>
      <c r="T98" s="11">
        <f t="shared" si="19"/>
        <v>36.728634980431131</v>
      </c>
    </row>
    <row r="99" spans="17:20" x14ac:dyDescent="0.25">
      <c r="Q99" s="42">
        <v>39</v>
      </c>
      <c r="R99" s="46">
        <f t="shared" si="15"/>
        <v>0.97453486397071165</v>
      </c>
      <c r="S99" s="47">
        <f t="shared" si="18"/>
        <v>-3.1510821802362416</v>
      </c>
      <c r="T99" s="11">
        <f t="shared" si="19"/>
        <v>-219.22185753188697</v>
      </c>
    </row>
    <row r="100" spans="17:20" x14ac:dyDescent="0.25">
      <c r="Q100" s="42">
        <v>40</v>
      </c>
      <c r="R100" s="46">
        <f t="shared" si="15"/>
        <v>1.0001805182857304</v>
      </c>
      <c r="S100" s="47">
        <f t="shared" si="18"/>
        <v>-5.4553490121055095</v>
      </c>
      <c r="T100" s="11">
        <f t="shared" si="19"/>
        <v>-460.83298829336587</v>
      </c>
    </row>
    <row r="101" spans="17:20" x14ac:dyDescent="0.25">
      <c r="Q101" s="42">
        <v>41</v>
      </c>
      <c r="R101" s="46">
        <f t="shared" si="15"/>
        <v>1.0258261726007492</v>
      </c>
      <c r="S101" s="47">
        <f t="shared" si="18"/>
        <v>-7.4027799707531781</v>
      </c>
      <c r="T101" s="11">
        <f t="shared" si="19"/>
        <v>-672.3009070583106</v>
      </c>
    </row>
    <row r="102" spans="17:20" x14ac:dyDescent="0.25">
      <c r="Q102" s="42">
        <v>42</v>
      </c>
      <c r="R102" s="46">
        <f t="shared" si="15"/>
        <v>1.0514718269157679</v>
      </c>
      <c r="S102" s="47">
        <f t="shared" si="18"/>
        <v>-8.8659930637300199</v>
      </c>
      <c r="T102" s="11">
        <f t="shared" si="19"/>
        <v>-839.79343933460143</v>
      </c>
    </row>
    <row r="103" spans="17:20" x14ac:dyDescent="0.25">
      <c r="Q103" s="42">
        <v>43</v>
      </c>
      <c r="R103" s="46">
        <f t="shared" si="15"/>
        <v>1.0771174812307867</v>
      </c>
      <c r="S103" s="47">
        <f t="shared" si="18"/>
        <v>-9.7492791218182422</v>
      </c>
      <c r="T103" s="11">
        <f t="shared" si="19"/>
        <v>-952.35485270616618</v>
      </c>
    </row>
    <row r="104" spans="17:20" x14ac:dyDescent="0.25">
      <c r="Q104" s="42">
        <v>44</v>
      </c>
      <c r="R104" s="46">
        <f t="shared" si="15"/>
        <v>1.1027631355458054</v>
      </c>
      <c r="S104" s="47">
        <f t="shared" si="18"/>
        <v>-9.9948621620068785</v>
      </c>
      <c r="T104" s="11">
        <f t="shared" si="19"/>
        <v>-1002.6224742913311</v>
      </c>
    </row>
    <row r="105" spans="17:20" x14ac:dyDescent="0.25">
      <c r="Q105" s="42">
        <v>45</v>
      </c>
      <c r="R105" s="46">
        <f t="shared" si="15"/>
        <v>1.1284087898608242</v>
      </c>
      <c r="S105" s="47">
        <f t="shared" si="18"/>
        <v>-9.5866785303665942</v>
      </c>
      <c r="T105" s="11">
        <f t="shared" si="19"/>
        <v>-987.30828519280522</v>
      </c>
    </row>
    <row r="106" spans="17:20" x14ac:dyDescent="0.25">
      <c r="Q106" s="42">
        <v>46</v>
      </c>
      <c r="R106" s="46">
        <f t="shared" si="15"/>
        <v>1.1540544441758429</v>
      </c>
      <c r="S106" s="47">
        <f t="shared" si="18"/>
        <v>-8.5514276300534338</v>
      </c>
      <c r="T106" s="11">
        <f t="shared" si="19"/>
        <v>-907.41399071441572</v>
      </c>
    </row>
    <row r="107" spans="17:20" x14ac:dyDescent="0.25">
      <c r="Q107" s="42">
        <v>47</v>
      </c>
      <c r="R107" s="46">
        <f t="shared" si="15"/>
        <v>1.1797000984908617</v>
      </c>
      <c r="S107" s="47">
        <f t="shared" si="18"/>
        <v>-6.9568255060348196</v>
      </c>
      <c r="T107" s="11">
        <f t="shared" si="19"/>
        <v>-768.16549854279401</v>
      </c>
    </row>
    <row r="108" spans="17:20" x14ac:dyDescent="0.25">
      <c r="Q108" s="42">
        <v>48</v>
      </c>
      <c r="R108" s="46">
        <f t="shared" si="15"/>
        <v>1.2053457528058804</v>
      </c>
      <c r="S108" s="47">
        <f t="shared" si="18"/>
        <v>-4.9071755200393339</v>
      </c>
      <c r="T108" s="11">
        <f t="shared" si="19"/>
        <v>-578.67109069410492</v>
      </c>
    </row>
    <row r="109" spans="17:20" x14ac:dyDescent="0.25">
      <c r="Q109" s="42">
        <v>49</v>
      </c>
      <c r="R109" s="46">
        <f t="shared" si="15"/>
        <v>1.2309914071208992</v>
      </c>
      <c r="S109" s="47">
        <f t="shared" si="18"/>
        <v>-2.5365458390950173</v>
      </c>
      <c r="T109" s="11">
        <f t="shared" si="19"/>
        <v>-351.32564829240454</v>
      </c>
    </row>
    <row r="110" spans="17:20" ht="15.75" thickBot="1" x14ac:dyDescent="0.3">
      <c r="Q110" s="49">
        <v>50</v>
      </c>
      <c r="R110" s="54">
        <f>$W$58*$F$27</f>
        <v>1.2566370614359172</v>
      </c>
      <c r="S110" s="50">
        <f t="shared" si="18"/>
        <v>-4.90059381963448E-15</v>
      </c>
      <c r="T110" s="13">
        <f t="shared" si="19"/>
        <v>-100.99989900010144</v>
      </c>
    </row>
  </sheetData>
  <sheetProtection sheet="1" objects="1" scenarios="1"/>
  <mergeCells count="28">
    <mergeCell ref="G41:H41"/>
    <mergeCell ref="M19:N19"/>
    <mergeCell ref="M12:M13"/>
    <mergeCell ref="B20:B21"/>
    <mergeCell ref="B22:B23"/>
    <mergeCell ref="B25:F26"/>
    <mergeCell ref="H25:L26"/>
    <mergeCell ref="N12:N13"/>
    <mergeCell ref="K37:L37"/>
    <mergeCell ref="B6:G12"/>
    <mergeCell ref="B13:G13"/>
    <mergeCell ref="H27:L28"/>
    <mergeCell ref="B2:G3"/>
    <mergeCell ref="B4:G5"/>
    <mergeCell ref="K4:L4"/>
    <mergeCell ref="U58:V58"/>
    <mergeCell ref="O7:O13"/>
    <mergeCell ref="B37:C37"/>
    <mergeCell ref="B32:F32"/>
    <mergeCell ref="H32:L32"/>
    <mergeCell ref="K19:L19"/>
    <mergeCell ref="D33:D35"/>
    <mergeCell ref="B29:F30"/>
    <mergeCell ref="H29:L30"/>
    <mergeCell ref="C19:D19"/>
    <mergeCell ref="E19:F19"/>
    <mergeCell ref="G19:H19"/>
    <mergeCell ref="I19:J19"/>
  </mergeCells>
  <conditionalFormatting sqref="L5:L8">
    <cfRule type="expression" dxfId="9" priority="19">
      <formula>IF($G$16&gt;=1,0,1)</formula>
    </cfRule>
  </conditionalFormatting>
  <conditionalFormatting sqref="I8:I10">
    <cfRule type="expression" dxfId="8" priority="26">
      <formula>IF($B$4="K a b",0,1)</formula>
    </cfRule>
  </conditionalFormatting>
  <conditionalFormatting sqref="I11:I13">
    <cfRule type="expression" dxfId="7" priority="27">
      <formula>IF($B$4="K z w0",0,1)</formula>
    </cfRule>
  </conditionalFormatting>
  <conditionalFormatting sqref="I4:I7">
    <cfRule type="expression" dxfId="6" priority="7">
      <formula>IF($B$4="u v w t",0,1)</formula>
    </cfRule>
  </conditionalFormatting>
  <conditionalFormatting sqref="M11:N11">
    <cfRule type="expression" dxfId="5" priority="31">
      <formula>IF($G$16&lt;1,1,0)</formula>
    </cfRule>
  </conditionalFormatting>
  <conditionalFormatting sqref="M9:N9">
    <cfRule type="expression" dxfId="4" priority="6">
      <formula>IF($G$16&lt;1,1,0)</formula>
    </cfRule>
  </conditionalFormatting>
  <conditionalFormatting sqref="K10:L13">
    <cfRule type="expression" dxfId="3" priority="4">
      <formula>IF($G$16&lt;=SQRT(2)/2,0,1)</formula>
    </cfRule>
  </conditionalFormatting>
  <conditionalFormatting sqref="M14:N14">
    <cfRule type="expression" dxfId="2" priority="3">
      <formula>IF($G$14&gt;1,0,1)</formula>
    </cfRule>
  </conditionalFormatting>
  <conditionalFormatting sqref="M15:N15">
    <cfRule type="expression" dxfId="1" priority="2">
      <formula>IF($G$14&gt;1,0,1)</formula>
    </cfRule>
  </conditionalFormatting>
  <conditionalFormatting sqref="M16:N16">
    <cfRule type="expression" dxfId="0" priority="1">
      <formula>IF($G$14&gt;1,0,1)</formula>
    </cfRule>
  </conditionalFormatting>
  <dataValidations count="1">
    <dataValidation type="list" allowBlank="1" showInputMessage="1" showErrorMessage="1" sqref="B4:G5">
      <formula1>"u v w t,K a b,K z w0"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1° ordre</vt:lpstr>
      <vt:lpstr>2° ordre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2016-04-03T11:27:06Z</dcterms:modified>
</cp:coreProperties>
</file>